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nni\Downloads\"/>
    </mc:Choice>
  </mc:AlternateContent>
  <xr:revisionPtr revIDLastSave="0" documentId="8_{4FB3FC33-EA22-48B0-B190-6E171023F6E5}" xr6:coauthVersionLast="47" xr6:coauthVersionMax="47" xr10:uidLastSave="{00000000-0000-0000-0000-000000000000}"/>
  <bookViews>
    <workbookView xWindow="-120" yWindow="-120" windowWidth="29040" windowHeight="15840" tabRatio="790" xr2:uid="{00000000-000D-0000-FFFF-FFFF00000000}"/>
  </bookViews>
  <sheets>
    <sheet name="Top" sheetId="9" r:id="rId1"/>
    <sheet name="Hold" sheetId="2" r:id="rId2"/>
    <sheet name="pers. score " sheetId="5" r:id="rId3"/>
  </sheets>
  <definedNames>
    <definedName name="_xlnm.Print_Area" localSheetId="2">'pers. score '!$A$2:$D$5</definedName>
    <definedName name="_xlnm.Print_Area" localSheetId="0">Top!$A$1:$D$39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9" i="2" l="1"/>
  <c r="I198" i="2"/>
  <c r="I197" i="2"/>
  <c r="I9" i="2"/>
  <c r="I7" i="2"/>
  <c r="I5" i="2"/>
  <c r="H167" i="2"/>
  <c r="H166" i="2"/>
  <c r="H165" i="2"/>
  <c r="I96" i="2"/>
  <c r="I95" i="2"/>
  <c r="I94" i="2"/>
  <c r="I93" i="2"/>
  <c r="I223" i="2"/>
  <c r="I222" i="2"/>
  <c r="I221" i="2"/>
  <c r="H223" i="2"/>
  <c r="H222" i="2"/>
  <c r="H221" i="2"/>
  <c r="I104" i="2"/>
  <c r="I103" i="2"/>
  <c r="I101" i="2"/>
  <c r="I144" i="2"/>
  <c r="I143" i="2"/>
  <c r="I141" i="2"/>
  <c r="I80" i="2"/>
  <c r="I79" i="2"/>
  <c r="I78" i="2"/>
  <c r="I77" i="2"/>
  <c r="I231" i="2"/>
  <c r="H231" i="2"/>
  <c r="I232" i="2"/>
  <c r="H232" i="2"/>
  <c r="I230" i="2"/>
  <c r="H230" i="2"/>
  <c r="I229" i="2"/>
  <c r="H229" i="2"/>
  <c r="I248" i="2"/>
  <c r="I247" i="2"/>
  <c r="I246" i="2"/>
  <c r="I245" i="2"/>
  <c r="I23" i="2" l="1"/>
  <c r="I22" i="2"/>
  <c r="I21" i="2"/>
  <c r="H193" i="2"/>
  <c r="H191" i="2"/>
  <c r="H190" i="2"/>
  <c r="H189" i="2"/>
  <c r="I160" i="2"/>
  <c r="I159" i="2"/>
  <c r="I158" i="2"/>
  <c r="I157" i="2"/>
  <c r="I255" i="2" l="1"/>
  <c r="I254" i="2"/>
  <c r="I253" i="2"/>
  <c r="I241" i="2"/>
  <c r="I240" i="2"/>
  <c r="I239" i="2"/>
  <c r="I237" i="2"/>
  <c r="H111" i="2"/>
  <c r="H110" i="2"/>
  <c r="H109" i="2"/>
  <c r="H119" i="2"/>
  <c r="H118" i="2"/>
  <c r="H117" i="2"/>
  <c r="G64" i="2"/>
  <c r="G63" i="2"/>
  <c r="G62" i="2"/>
  <c r="G61" i="2"/>
  <c r="H32" i="2"/>
  <c r="H31" i="2"/>
  <c r="H30" i="2"/>
  <c r="H39" i="2"/>
  <c r="H38" i="2"/>
  <c r="H37" i="2"/>
  <c r="I216" i="2" l="1"/>
  <c r="I215" i="2"/>
  <c r="I214" i="2"/>
  <c r="I213" i="2"/>
  <c r="I208" i="2"/>
  <c r="I207" i="2"/>
  <c r="I206" i="2"/>
  <c r="I205" i="2"/>
  <c r="I55" i="2"/>
  <c r="I54" i="2"/>
  <c r="I53" i="2"/>
  <c r="I47" i="2"/>
  <c r="I46" i="2"/>
  <c r="I45" i="2"/>
  <c r="H96" i="2"/>
  <c r="H95" i="2"/>
  <c r="H94" i="2"/>
  <c r="H93" i="2"/>
  <c r="H104" i="2" l="1"/>
  <c r="H103" i="2"/>
  <c r="H102" i="2"/>
  <c r="H101" i="2"/>
  <c r="H248" i="2"/>
  <c r="H247" i="2"/>
  <c r="H246" i="2"/>
  <c r="H245" i="2"/>
  <c r="G232" i="2"/>
  <c r="G231" i="2"/>
  <c r="G230" i="2"/>
  <c r="G229" i="2"/>
  <c r="G223" i="2"/>
  <c r="G222" i="2"/>
  <c r="G221" i="2"/>
  <c r="H199" i="2"/>
  <c r="H198" i="2"/>
  <c r="H197" i="2"/>
  <c r="H145" i="2" l="1"/>
  <c r="H144" i="2"/>
  <c r="H143" i="2"/>
  <c r="H141" i="2"/>
  <c r="H55" i="2"/>
  <c r="H54" i="2"/>
  <c r="H53" i="2"/>
  <c r="H47" i="2"/>
  <c r="H46" i="2"/>
  <c r="H45" i="2"/>
  <c r="H152" i="2"/>
  <c r="H151" i="2"/>
  <c r="H150" i="2"/>
  <c r="H149" i="2"/>
  <c r="H161" i="2" l="1"/>
  <c r="H160" i="2"/>
  <c r="H159" i="2"/>
  <c r="H158" i="2"/>
  <c r="H208" i="2"/>
  <c r="H207" i="2"/>
  <c r="H206" i="2"/>
  <c r="H205" i="2"/>
  <c r="H216" i="2"/>
  <c r="H215" i="2"/>
  <c r="H214" i="2"/>
  <c r="H213" i="2"/>
  <c r="G192" i="2"/>
  <c r="G190" i="2"/>
  <c r="G193" i="2"/>
  <c r="G189" i="2"/>
  <c r="H23" i="2"/>
  <c r="H22" i="2"/>
  <c r="H21" i="2"/>
  <c r="H15" i="2"/>
  <c r="H14" i="2"/>
  <c r="H13" i="2"/>
  <c r="G32" i="2"/>
  <c r="G31" i="2"/>
  <c r="G30" i="2"/>
  <c r="G39" i="2"/>
  <c r="G38" i="2"/>
  <c r="G37" i="2"/>
  <c r="H255" i="2"/>
  <c r="H254" i="2"/>
  <c r="H253" i="2"/>
  <c r="H240" i="2"/>
  <c r="H239" i="2"/>
  <c r="H238" i="2"/>
  <c r="H237" i="2"/>
  <c r="G248" i="2" l="1"/>
  <c r="G247" i="2"/>
  <c r="G246" i="2"/>
  <c r="G245" i="2"/>
  <c r="G199" i="2"/>
  <c r="G198" i="2"/>
  <c r="G197" i="2"/>
  <c r="G9" i="2"/>
  <c r="G7" i="2"/>
  <c r="G5" i="2"/>
  <c r="F223" i="2"/>
  <c r="F222" i="2"/>
  <c r="F221" i="2"/>
  <c r="F224" i="2"/>
  <c r="F232" i="2"/>
  <c r="F231" i="2"/>
  <c r="F229" i="2"/>
  <c r="F104" i="2"/>
  <c r="F103" i="2"/>
  <c r="F102" i="2"/>
  <c r="G80" i="2"/>
  <c r="G79" i="2"/>
  <c r="G77" i="2"/>
  <c r="F88" i="2"/>
  <c r="F87" i="2"/>
  <c r="F86" i="2"/>
  <c r="F85" i="2"/>
  <c r="G167" i="2" l="1"/>
  <c r="G166" i="2"/>
  <c r="G165" i="2"/>
  <c r="F80" i="2"/>
  <c r="F79" i="2"/>
  <c r="F78" i="2"/>
  <c r="F77" i="2"/>
  <c r="G216" i="2"/>
  <c r="G215" i="2"/>
  <c r="G214" i="2"/>
  <c r="G213" i="2"/>
  <c r="G208" i="2"/>
  <c r="G207" i="2"/>
  <c r="G206" i="2"/>
  <c r="G205" i="2"/>
  <c r="G55" i="2"/>
  <c r="G54" i="2"/>
  <c r="G53" i="2"/>
  <c r="G47" i="2"/>
  <c r="G46" i="2"/>
  <c r="G45" i="2"/>
  <c r="F199" i="2" l="1"/>
  <c r="F198" i="2"/>
  <c r="F197" i="2"/>
  <c r="G145" i="2"/>
  <c r="G144" i="2"/>
  <c r="G143" i="2"/>
  <c r="G141" i="2"/>
  <c r="G152" i="2"/>
  <c r="G151" i="2"/>
  <c r="G150" i="2"/>
  <c r="G149" i="2"/>
  <c r="G135" i="2"/>
  <c r="G134" i="2"/>
  <c r="G133" i="2"/>
  <c r="G23" i="2"/>
  <c r="G22" i="2"/>
  <c r="G21" i="2"/>
  <c r="G15" i="2"/>
  <c r="G14" i="2"/>
  <c r="G13" i="2"/>
  <c r="G160" i="2"/>
  <c r="G159" i="2"/>
  <c r="G158" i="2"/>
  <c r="G157" i="2"/>
  <c r="F248" i="2" l="1"/>
  <c r="F247" i="2"/>
  <c r="F246" i="2"/>
  <c r="F245" i="2"/>
  <c r="F167" i="2"/>
  <c r="F166" i="2"/>
  <c r="F165" i="2"/>
  <c r="G241" i="2"/>
  <c r="G239" i="2"/>
  <c r="G238" i="2"/>
  <c r="G237" i="2"/>
  <c r="G255" i="2" l="1"/>
  <c r="G254" i="2"/>
  <c r="G253" i="2"/>
  <c r="F9" i="2" l="1"/>
  <c r="F7" i="2"/>
  <c r="F5" i="2"/>
  <c r="E9" i="2" l="1"/>
  <c r="E7" i="2"/>
  <c r="E5" i="2"/>
  <c r="G96" i="2" l="1"/>
  <c r="G95" i="2"/>
  <c r="G94" i="2"/>
  <c r="G93" i="2"/>
  <c r="F15" i="2"/>
  <c r="F14" i="2"/>
  <c r="F13" i="2"/>
  <c r="F23" i="2"/>
  <c r="F22" i="2"/>
  <c r="F21" i="2"/>
  <c r="F161" i="2"/>
  <c r="F160" i="2"/>
  <c r="F157" i="2"/>
  <c r="I175" i="2"/>
  <c r="I174" i="2"/>
  <c r="I173" i="2"/>
  <c r="F135" i="2" l="1"/>
  <c r="F134" i="2"/>
  <c r="F133" i="2"/>
  <c r="F152" i="2" l="1"/>
  <c r="F151" i="2"/>
  <c r="F150" i="2"/>
  <c r="F149" i="2"/>
  <c r="F145" i="2"/>
  <c r="F144" i="2"/>
  <c r="F143" i="2"/>
  <c r="F141" i="2"/>
  <c r="F96" i="2"/>
  <c r="F95" i="2"/>
  <c r="F94" i="2"/>
  <c r="F93" i="2"/>
  <c r="F55" i="2"/>
  <c r="F54" i="2"/>
  <c r="F53" i="2"/>
  <c r="F47" i="2"/>
  <c r="F46" i="2"/>
  <c r="F45" i="2"/>
  <c r="G175" i="2"/>
  <c r="G174" i="2"/>
  <c r="G173" i="2"/>
  <c r="F193" i="2"/>
  <c r="F192" i="2"/>
  <c r="F191" i="2"/>
  <c r="F190" i="2"/>
  <c r="F208" i="2"/>
  <c r="F207" i="2"/>
  <c r="F206" i="2"/>
  <c r="F205" i="2"/>
  <c r="F216" i="2"/>
  <c r="F215" i="2"/>
  <c r="F214" i="2"/>
  <c r="F213" i="2"/>
  <c r="F255" i="2"/>
  <c r="F254" i="2"/>
  <c r="F253" i="2"/>
  <c r="F32" i="2"/>
  <c r="F31" i="2"/>
  <c r="F30" i="2"/>
  <c r="F39" i="2"/>
  <c r="F38" i="2"/>
  <c r="F37" i="2"/>
  <c r="F64" i="2"/>
  <c r="F63" i="2"/>
  <c r="F62" i="2"/>
  <c r="F61" i="2"/>
  <c r="E64" i="2"/>
  <c r="E63" i="2"/>
  <c r="E62" i="2"/>
  <c r="E61" i="2"/>
  <c r="G127" i="2"/>
  <c r="G126" i="2"/>
  <c r="G125" i="2"/>
  <c r="F241" i="2"/>
  <c r="F240" i="2"/>
  <c r="F238" i="2"/>
  <c r="F237" i="2"/>
  <c r="G119" i="2"/>
  <c r="G118" i="2"/>
  <c r="G117" i="2"/>
  <c r="G111" i="2"/>
  <c r="G110" i="2"/>
  <c r="G109" i="2"/>
  <c r="E248" i="2" l="1"/>
  <c r="E247" i="2"/>
  <c r="E246" i="2"/>
  <c r="E245" i="2"/>
  <c r="E223" i="2"/>
  <c r="E222" i="2"/>
  <c r="E221" i="2"/>
  <c r="E232" i="2"/>
  <c r="E231" i="2"/>
  <c r="E230" i="2"/>
  <c r="E229" i="2"/>
  <c r="E167" i="2"/>
  <c r="E166" i="2"/>
  <c r="E165" i="2"/>
  <c r="E80" i="2"/>
  <c r="E79" i="2"/>
  <c r="E78" i="2"/>
  <c r="E77" i="2"/>
  <c r="E104" i="2"/>
  <c r="E102" i="2"/>
  <c r="E101" i="2"/>
  <c r="D9" i="2" l="1"/>
  <c r="D7" i="2"/>
  <c r="D5" i="2"/>
  <c r="E199" i="2"/>
  <c r="E198" i="2"/>
  <c r="E197" i="2"/>
  <c r="E96" i="2"/>
  <c r="E95" i="2"/>
  <c r="E94" i="2"/>
  <c r="E93" i="2"/>
  <c r="E145" i="2"/>
  <c r="E144" i="2"/>
  <c r="E143" i="2"/>
  <c r="E141" i="2"/>
  <c r="E152" i="2"/>
  <c r="E151" i="2"/>
  <c r="E150" i="2"/>
  <c r="E149" i="2"/>
  <c r="E23" i="2"/>
  <c r="E22" i="2"/>
  <c r="E21" i="2"/>
  <c r="E15" i="2"/>
  <c r="E14" i="2"/>
  <c r="E13" i="2"/>
  <c r="E135" i="2"/>
  <c r="E134" i="2"/>
  <c r="E133" i="2"/>
  <c r="F175" i="2"/>
  <c r="F174" i="2"/>
  <c r="F173" i="2"/>
  <c r="E175" i="2"/>
  <c r="E174" i="2"/>
  <c r="E173" i="2"/>
  <c r="E47" i="2"/>
  <c r="E46" i="2"/>
  <c r="E45" i="2"/>
  <c r="E55" i="2"/>
  <c r="E54" i="2"/>
  <c r="E53" i="2"/>
  <c r="E193" i="2"/>
  <c r="E192" i="2"/>
  <c r="E190" i="2"/>
  <c r="E189" i="2"/>
  <c r="E216" i="2"/>
  <c r="E215" i="2"/>
  <c r="E214" i="2"/>
  <c r="E213" i="2"/>
  <c r="E208" i="2"/>
  <c r="E207" i="2"/>
  <c r="E206" i="2"/>
  <c r="E205" i="2"/>
  <c r="F111" i="2"/>
  <c r="F110" i="2"/>
  <c r="F109" i="2"/>
  <c r="F119" i="2"/>
  <c r="F118" i="2"/>
  <c r="F117" i="2"/>
  <c r="F127" i="2"/>
  <c r="F126" i="2"/>
  <c r="F125" i="2"/>
  <c r="E39" i="2"/>
  <c r="E38" i="2"/>
  <c r="E37" i="2"/>
  <c r="E32" i="2"/>
  <c r="E31" i="2"/>
  <c r="E30" i="2"/>
  <c r="E71" i="2"/>
  <c r="E70" i="2"/>
  <c r="E69" i="2"/>
  <c r="E240" i="2"/>
  <c r="E239" i="2"/>
  <c r="E238" i="2"/>
  <c r="E237" i="2"/>
  <c r="E255" i="2"/>
  <c r="E254" i="2"/>
  <c r="E253" i="2"/>
  <c r="E160" i="2"/>
  <c r="E159" i="2"/>
  <c r="E158" i="2"/>
  <c r="E157" i="2"/>
  <c r="E119" i="2" l="1"/>
  <c r="E118" i="2"/>
  <c r="E117" i="2"/>
  <c r="E111" i="2"/>
  <c r="E110" i="2"/>
  <c r="E109" i="2"/>
  <c r="E127" i="2"/>
  <c r="E126" i="2"/>
  <c r="E125" i="2"/>
  <c r="D255" i="2"/>
  <c r="D254" i="2"/>
  <c r="D253" i="2"/>
  <c r="C255" i="2"/>
  <c r="C254" i="2"/>
  <c r="C253" i="2"/>
  <c r="D167" i="2" l="1"/>
  <c r="D166" i="2"/>
  <c r="D165" i="2"/>
  <c r="D80" i="2"/>
  <c r="D79" i="2"/>
  <c r="D78" i="2"/>
  <c r="D77" i="2"/>
  <c r="D175" i="2"/>
  <c r="D174" i="2"/>
  <c r="D173" i="2"/>
  <c r="C175" i="2"/>
  <c r="C174" i="2"/>
  <c r="A1" i="9" l="1"/>
  <c r="D15" i="2" l="1"/>
  <c r="D14" i="2"/>
  <c r="D13" i="2"/>
  <c r="D23" i="2"/>
  <c r="D22" i="2"/>
  <c r="D21" i="2"/>
  <c r="D199" i="2"/>
  <c r="D198" i="2"/>
  <c r="D197" i="2"/>
  <c r="D224" i="2"/>
  <c r="D223" i="2"/>
  <c r="D222" i="2"/>
  <c r="D135" i="2"/>
  <c r="D134" i="2"/>
  <c r="D133" i="2"/>
  <c r="D192" i="2"/>
  <c r="D191" i="2"/>
  <c r="D190" i="2"/>
  <c r="D189" i="2"/>
  <c r="C88" i="2"/>
  <c r="C87" i="2"/>
  <c r="C86" i="2"/>
  <c r="C85" i="2"/>
  <c r="D241" i="2" l="1"/>
  <c r="D239" i="2"/>
  <c r="D238" i="2"/>
  <c r="D237" i="2"/>
  <c r="D31" i="2"/>
  <c r="D30" i="2"/>
  <c r="D29" i="2"/>
  <c r="D39" i="2"/>
  <c r="D38" i="2"/>
  <c r="D37" i="2"/>
  <c r="D71" i="2"/>
  <c r="D70" i="2"/>
  <c r="D69" i="2"/>
  <c r="D64" i="2"/>
  <c r="D63" i="2"/>
  <c r="D62" i="2"/>
  <c r="D61" i="2"/>
  <c r="D119" i="2"/>
  <c r="D118" i="2"/>
  <c r="D117" i="2"/>
  <c r="D111" i="2"/>
  <c r="D110" i="2"/>
  <c r="D109" i="2"/>
  <c r="D127" i="2"/>
  <c r="D126" i="2"/>
  <c r="D125" i="2"/>
  <c r="C39" i="9" l="1"/>
  <c r="C38" i="9"/>
  <c r="C37" i="9"/>
  <c r="C9" i="9"/>
  <c r="C24" i="9"/>
  <c r="C29" i="9"/>
  <c r="C36" i="9"/>
  <c r="C20" i="9"/>
  <c r="C232" i="2"/>
  <c r="C231" i="2"/>
  <c r="C230" i="2"/>
  <c r="C229" i="2"/>
  <c r="C223" i="2"/>
  <c r="C222" i="2"/>
  <c r="C221" i="2"/>
  <c r="C104" i="2"/>
  <c r="C103" i="2"/>
  <c r="C102" i="2"/>
  <c r="C101" i="2"/>
  <c r="C199" i="2" l="1"/>
  <c r="C198" i="2"/>
  <c r="C197" i="2"/>
  <c r="C96" i="2" l="1"/>
  <c r="C95" i="2"/>
  <c r="C94" i="2"/>
  <c r="C93" i="2"/>
  <c r="C145" i="2"/>
  <c r="C144" i="2"/>
  <c r="C143" i="2"/>
  <c r="C141" i="2"/>
  <c r="C152" i="2"/>
  <c r="C151" i="2"/>
  <c r="C150" i="2"/>
  <c r="C149" i="2"/>
  <c r="C55" i="2"/>
  <c r="C54" i="2"/>
  <c r="C53" i="2"/>
  <c r="C47" i="2"/>
  <c r="C46" i="2"/>
  <c r="C45" i="2"/>
  <c r="C135" i="2"/>
  <c r="C134" i="2"/>
  <c r="C133" i="2"/>
  <c r="C22" i="2" l="1"/>
  <c r="C21" i="2"/>
  <c r="C15" i="2"/>
  <c r="C14" i="2"/>
  <c r="C13" i="2"/>
  <c r="C192" i="2"/>
  <c r="C191" i="2"/>
  <c r="C190" i="2"/>
  <c r="C189" i="2"/>
  <c r="C159" i="2"/>
  <c r="C157" i="2"/>
  <c r="C160" i="2"/>
  <c r="C158" i="2"/>
  <c r="C216" i="2"/>
  <c r="C215" i="2"/>
  <c r="C214" i="2"/>
  <c r="C213" i="2"/>
  <c r="C208" i="2"/>
  <c r="C207" i="2"/>
  <c r="C206" i="2"/>
  <c r="C205" i="2"/>
  <c r="C127" i="2" l="1"/>
  <c r="C126" i="2"/>
  <c r="C125" i="2"/>
  <c r="C119" i="2"/>
  <c r="C118" i="2"/>
  <c r="C117" i="2"/>
  <c r="C111" i="2"/>
  <c r="C110" i="2"/>
  <c r="C109" i="2"/>
  <c r="C61" i="2"/>
  <c r="C64" i="2"/>
  <c r="C63" i="2"/>
  <c r="C62" i="2"/>
  <c r="C71" i="2"/>
  <c r="C70" i="2"/>
  <c r="C69" i="2"/>
  <c r="C39" i="2"/>
  <c r="C38" i="2"/>
  <c r="C37" i="2"/>
  <c r="C31" i="2"/>
  <c r="C30" i="2"/>
  <c r="C29" i="2"/>
  <c r="A32" i="2"/>
  <c r="S13" i="2" l="1"/>
  <c r="C17" i="9"/>
  <c r="C8" i="9"/>
  <c r="C34" i="9"/>
  <c r="C30" i="9"/>
  <c r="C5" i="9"/>
  <c r="C32" i="9"/>
  <c r="C23" i="9"/>
  <c r="C35" i="9"/>
  <c r="C28" i="9"/>
  <c r="C31" i="9"/>
  <c r="C22" i="9"/>
  <c r="B39" i="9"/>
  <c r="B38" i="9"/>
  <c r="B37" i="9"/>
  <c r="B9" i="9"/>
  <c r="B24" i="9"/>
  <c r="B29" i="9"/>
  <c r="B22" i="9"/>
  <c r="B31" i="9"/>
  <c r="B28" i="9"/>
  <c r="B35" i="9"/>
  <c r="B23" i="9"/>
  <c r="B32" i="9"/>
  <c r="B36" i="9"/>
  <c r="B20" i="9"/>
  <c r="B5" i="9"/>
  <c r="B30" i="9"/>
  <c r="B34" i="9"/>
  <c r="B8" i="9"/>
  <c r="B17" i="9"/>
  <c r="C10" i="9"/>
  <c r="C13" i="9"/>
  <c r="C25" i="9"/>
  <c r="C21" i="9"/>
  <c r="C26" i="9"/>
  <c r="B21" i="9"/>
  <c r="B25" i="9"/>
  <c r="B13" i="9"/>
  <c r="B10" i="9"/>
  <c r="C33" i="9"/>
  <c r="C19" i="9"/>
  <c r="C11" i="9"/>
  <c r="C27" i="9"/>
  <c r="C18" i="9"/>
  <c r="C14" i="9"/>
  <c r="B14" i="9"/>
  <c r="B18" i="9"/>
  <c r="B27" i="9"/>
  <c r="B11" i="9"/>
  <c r="B19" i="9"/>
  <c r="B33" i="9"/>
  <c r="C6" i="9"/>
  <c r="C12" i="9"/>
  <c r="C16" i="9"/>
  <c r="C15" i="9"/>
  <c r="B15" i="9"/>
  <c r="B12" i="9"/>
  <c r="B6" i="9"/>
  <c r="C7" i="9"/>
  <c r="B7" i="9"/>
  <c r="B142" i="5"/>
  <c r="C142" i="5"/>
  <c r="B19" i="5"/>
  <c r="C19" i="5"/>
  <c r="B163" i="5"/>
  <c r="C163" i="5"/>
  <c r="B14" i="5"/>
  <c r="C14" i="5"/>
  <c r="B9" i="5"/>
  <c r="C9" i="5"/>
  <c r="B12" i="5"/>
  <c r="C12" i="5"/>
  <c r="B24" i="5"/>
  <c r="C24" i="5"/>
  <c r="B149" i="5"/>
  <c r="C149" i="5"/>
  <c r="B164" i="5"/>
  <c r="C164" i="5"/>
  <c r="B48" i="5"/>
  <c r="C48" i="5"/>
  <c r="B78" i="5"/>
  <c r="C78" i="5"/>
  <c r="B6" i="5"/>
  <c r="C6" i="5"/>
  <c r="B148" i="5"/>
  <c r="C148" i="5"/>
  <c r="B151" i="5"/>
  <c r="C151" i="5"/>
  <c r="C69" i="5"/>
  <c r="C52" i="5"/>
  <c r="C53" i="5"/>
  <c r="C31" i="5"/>
  <c r="B153" i="5"/>
  <c r="C153" i="5"/>
  <c r="B43" i="5"/>
  <c r="C43" i="5"/>
  <c r="B39" i="5"/>
  <c r="C39" i="5"/>
  <c r="B44" i="5"/>
  <c r="C44" i="5"/>
  <c r="B155" i="5"/>
  <c r="C155" i="5"/>
  <c r="B159" i="5"/>
  <c r="C159" i="5"/>
  <c r="B81" i="5"/>
  <c r="C81" i="5"/>
  <c r="B88" i="5"/>
  <c r="C88" i="5"/>
  <c r="B116" i="5"/>
  <c r="C116" i="5"/>
  <c r="B156" i="5"/>
  <c r="C156" i="5"/>
  <c r="B154" i="5"/>
  <c r="C154" i="5"/>
  <c r="B113" i="5"/>
  <c r="C113" i="5"/>
  <c r="B8" i="5"/>
  <c r="C8" i="5"/>
  <c r="B64" i="5"/>
  <c r="C64" i="5"/>
  <c r="B161" i="5"/>
  <c r="C161" i="5"/>
  <c r="B165" i="5"/>
  <c r="C165" i="5"/>
  <c r="B38" i="5"/>
  <c r="C38" i="5"/>
  <c r="B36" i="5"/>
  <c r="C36" i="5"/>
  <c r="B21" i="5"/>
  <c r="C21" i="5"/>
  <c r="B25" i="5"/>
  <c r="C25" i="5"/>
  <c r="B166" i="5"/>
  <c r="C166" i="5"/>
  <c r="B73" i="5"/>
  <c r="C73" i="5"/>
  <c r="B104" i="5"/>
  <c r="C104" i="5"/>
  <c r="B70" i="5"/>
  <c r="C70" i="5"/>
  <c r="B167" i="5"/>
  <c r="C167" i="5"/>
  <c r="B168" i="5"/>
  <c r="C168" i="5"/>
  <c r="B82" i="5"/>
  <c r="C82" i="5"/>
  <c r="B28" i="5"/>
  <c r="C28" i="5"/>
  <c r="B40" i="5"/>
  <c r="C40" i="5"/>
  <c r="B71" i="5"/>
  <c r="C71" i="5"/>
  <c r="B145" i="5"/>
  <c r="C145" i="5"/>
  <c r="B37" i="5"/>
  <c r="C37" i="5"/>
  <c r="B32" i="5"/>
  <c r="C32" i="5"/>
  <c r="B75" i="5"/>
  <c r="C75" i="5"/>
  <c r="B18" i="5"/>
  <c r="C18" i="5"/>
  <c r="B146" i="5"/>
  <c r="C146" i="5"/>
  <c r="B20" i="5"/>
  <c r="C20" i="5"/>
  <c r="B11" i="5"/>
  <c r="C11" i="5"/>
  <c r="B50" i="5"/>
  <c r="C50" i="5"/>
  <c r="B54" i="5"/>
  <c r="C54" i="5"/>
  <c r="B169" i="5"/>
  <c r="C169" i="5"/>
  <c r="B16" i="5"/>
  <c r="C16" i="5"/>
  <c r="B33" i="5"/>
  <c r="C33" i="5"/>
  <c r="B46" i="5"/>
  <c r="C46" i="5"/>
  <c r="B56" i="5"/>
  <c r="C56" i="5"/>
  <c r="B170" i="5"/>
  <c r="C170" i="5"/>
  <c r="B49" i="5"/>
  <c r="C49" i="5"/>
  <c r="B62" i="5"/>
  <c r="C62" i="5"/>
  <c r="B95" i="5"/>
  <c r="C95" i="5"/>
  <c r="B152" i="5"/>
  <c r="C152" i="5"/>
  <c r="B171" i="5"/>
  <c r="C171" i="5"/>
  <c r="B30" i="5"/>
  <c r="C30" i="5"/>
  <c r="B91" i="5"/>
  <c r="C91" i="5"/>
  <c r="B65" i="5"/>
  <c r="C65" i="5"/>
  <c r="B157" i="5"/>
  <c r="C157" i="5"/>
  <c r="B172" i="5"/>
  <c r="C172" i="5"/>
  <c r="B74" i="5"/>
  <c r="C74" i="5"/>
  <c r="B102" i="5"/>
  <c r="C102" i="5"/>
  <c r="B57" i="5"/>
  <c r="C57" i="5"/>
  <c r="B173" i="5"/>
  <c r="C173" i="5"/>
  <c r="B174" i="5"/>
  <c r="C174" i="5"/>
  <c r="B77" i="5"/>
  <c r="C77" i="5"/>
  <c r="B42" i="5"/>
  <c r="C42" i="5"/>
  <c r="B34" i="5"/>
  <c r="C34" i="5"/>
  <c r="B162" i="5"/>
  <c r="C162" i="5"/>
  <c r="B175" i="5"/>
  <c r="C175" i="5"/>
  <c r="B41" i="5"/>
  <c r="C41" i="5"/>
  <c r="B150" i="5"/>
  <c r="C150" i="5"/>
  <c r="B22" i="5"/>
  <c r="C22" i="5"/>
  <c r="B7" i="5"/>
  <c r="C7" i="5"/>
  <c r="B29" i="5"/>
  <c r="C29" i="5"/>
  <c r="B111" i="5"/>
  <c r="C111" i="5"/>
  <c r="B98" i="5"/>
  <c r="C98" i="5"/>
  <c r="B99" i="5"/>
  <c r="C99" i="5"/>
  <c r="B108" i="5"/>
  <c r="C108" i="5"/>
  <c r="B176" i="5"/>
  <c r="C176" i="5"/>
  <c r="B93" i="5"/>
  <c r="C93" i="5"/>
  <c r="B94" i="5"/>
  <c r="C94" i="5"/>
  <c r="B92" i="5"/>
  <c r="C92" i="5"/>
  <c r="B100" i="5"/>
  <c r="C100" i="5"/>
  <c r="B79" i="5"/>
  <c r="C79" i="5"/>
  <c r="B15" i="5"/>
  <c r="C15" i="5"/>
  <c r="B10" i="5"/>
  <c r="C10" i="5"/>
  <c r="B13" i="5"/>
  <c r="C13" i="5"/>
  <c r="B144" i="5"/>
  <c r="C144" i="5"/>
  <c r="B143" i="5"/>
  <c r="C143" i="5"/>
  <c r="B67" i="5"/>
  <c r="C67" i="5"/>
  <c r="B55" i="5"/>
  <c r="C55" i="5"/>
  <c r="B45" i="5"/>
  <c r="C45" i="5"/>
  <c r="B138" i="5"/>
  <c r="C138" i="5"/>
  <c r="B139" i="5"/>
  <c r="C139" i="5"/>
  <c r="B120" i="5"/>
  <c r="C120" i="5"/>
  <c r="B118" i="5"/>
  <c r="C118" i="5"/>
  <c r="B121" i="5"/>
  <c r="C121" i="5"/>
  <c r="B119" i="5"/>
  <c r="C119" i="5"/>
  <c r="B124" i="5"/>
  <c r="C124" i="5"/>
  <c r="B87" i="5"/>
  <c r="C87" i="5"/>
  <c r="B103" i="5"/>
  <c r="C103" i="5"/>
  <c r="B105" i="5"/>
  <c r="C105" i="5"/>
  <c r="B97" i="5"/>
  <c r="C97" i="5"/>
  <c r="B90" i="5"/>
  <c r="C90" i="5"/>
  <c r="B66" i="5"/>
  <c r="C66" i="5"/>
  <c r="B58" i="5"/>
  <c r="C58" i="5"/>
  <c r="B61" i="5"/>
  <c r="C61" i="5"/>
  <c r="B177" i="5"/>
  <c r="C177" i="5"/>
  <c r="B178" i="5"/>
  <c r="C178" i="5"/>
  <c r="B107" i="5"/>
  <c r="C107" i="5"/>
  <c r="B115" i="5"/>
  <c r="C115" i="5"/>
  <c r="B112" i="5"/>
  <c r="C112" i="5"/>
  <c r="B117" i="5"/>
  <c r="C117" i="5"/>
  <c r="B179" i="5"/>
  <c r="C179" i="5"/>
  <c r="B86" i="5"/>
  <c r="C86" i="5"/>
  <c r="B80" i="5"/>
  <c r="C80" i="5"/>
  <c r="B89" i="5"/>
  <c r="C89" i="5"/>
  <c r="B110" i="5"/>
  <c r="C110" i="5"/>
  <c r="B158" i="5"/>
  <c r="C158" i="5"/>
  <c r="B96" i="5"/>
  <c r="C96" i="5"/>
  <c r="B84" i="5"/>
  <c r="C84" i="5"/>
  <c r="B106" i="5"/>
  <c r="C106" i="5"/>
  <c r="B72" i="5"/>
  <c r="C72" i="5"/>
  <c r="B160" i="5"/>
  <c r="C160" i="5"/>
  <c r="B47" i="5"/>
  <c r="C47" i="5"/>
  <c r="B68" i="5"/>
  <c r="C68" i="5"/>
  <c r="B59" i="5"/>
  <c r="C59" i="5"/>
  <c r="B63" i="5"/>
  <c r="C63" i="5"/>
  <c r="B180" i="5"/>
  <c r="C180" i="5"/>
  <c r="B101" i="5"/>
  <c r="C101" i="5"/>
  <c r="B83" i="5"/>
  <c r="C83" i="5"/>
  <c r="B109" i="5"/>
  <c r="C109" i="5"/>
  <c r="B35" i="5"/>
  <c r="C35" i="5"/>
  <c r="B114" i="5"/>
  <c r="C114" i="5"/>
  <c r="B51" i="5"/>
  <c r="C51" i="5"/>
  <c r="B85" i="5"/>
  <c r="C85" i="5"/>
  <c r="B76" i="5"/>
  <c r="C76" i="5"/>
  <c r="B60" i="5"/>
  <c r="C60" i="5"/>
  <c r="B147" i="5"/>
  <c r="C147" i="5"/>
  <c r="B27" i="5"/>
  <c r="C27" i="5"/>
  <c r="B17" i="5"/>
  <c r="C17" i="5"/>
  <c r="B26" i="5"/>
  <c r="C26" i="5"/>
  <c r="B140" i="5"/>
  <c r="C140" i="5"/>
  <c r="B141" i="5"/>
  <c r="C141" i="5"/>
  <c r="B122" i="5"/>
  <c r="C122" i="5"/>
  <c r="B127" i="5"/>
  <c r="C127" i="5"/>
  <c r="B123" i="5"/>
  <c r="C123" i="5"/>
  <c r="B125" i="5"/>
  <c r="C125" i="5"/>
  <c r="B126" i="5"/>
  <c r="C126" i="5"/>
  <c r="B128" i="5"/>
  <c r="C128" i="5"/>
  <c r="B129" i="5"/>
  <c r="C129" i="5"/>
  <c r="B130" i="5"/>
  <c r="C130" i="5"/>
  <c r="B131" i="5"/>
  <c r="C131" i="5"/>
  <c r="B136" i="5"/>
  <c r="C136" i="5"/>
  <c r="B132" i="5"/>
  <c r="C132" i="5"/>
  <c r="B133" i="5"/>
  <c r="C133" i="5"/>
  <c r="B134" i="5"/>
  <c r="C134" i="5"/>
  <c r="B135" i="5"/>
  <c r="C135" i="5"/>
  <c r="B137" i="5"/>
  <c r="C137" i="5"/>
  <c r="B23" i="5"/>
  <c r="C23" i="5"/>
  <c r="S81" i="2"/>
  <c r="J81" i="2"/>
  <c r="D145" i="5" s="1"/>
  <c r="S80" i="2"/>
  <c r="J80" i="2"/>
  <c r="D71" i="5" s="1"/>
  <c r="S79" i="2"/>
  <c r="J79" i="2"/>
  <c r="D40" i="5" s="1"/>
  <c r="S78" i="2"/>
  <c r="J78" i="2"/>
  <c r="D28" i="5" s="1"/>
  <c r="S77" i="2"/>
  <c r="J77" i="2"/>
  <c r="D82" i="5" s="1"/>
  <c r="S281" i="2"/>
  <c r="J281" i="2"/>
  <c r="D137" i="5" s="1"/>
  <c r="S280" i="2"/>
  <c r="J280" i="2"/>
  <c r="D135" i="5" s="1"/>
  <c r="S279" i="2"/>
  <c r="J279" i="2"/>
  <c r="D134" i="5" s="1"/>
  <c r="S278" i="2"/>
  <c r="J278" i="2"/>
  <c r="D133" i="5" s="1"/>
  <c r="S277" i="2"/>
  <c r="J277" i="2"/>
  <c r="D132" i="5" s="1"/>
  <c r="S273" i="2"/>
  <c r="J273" i="2"/>
  <c r="D136" i="5" s="1"/>
  <c r="S272" i="2"/>
  <c r="J272" i="2"/>
  <c r="D131" i="5" s="1"/>
  <c r="S271" i="2"/>
  <c r="J271" i="2"/>
  <c r="D130" i="5" s="1"/>
  <c r="S270" i="2"/>
  <c r="J270" i="2"/>
  <c r="D129" i="5" s="1"/>
  <c r="S269" i="2"/>
  <c r="J269" i="2"/>
  <c r="D128" i="5" s="1"/>
  <c r="S265" i="2"/>
  <c r="J265" i="2"/>
  <c r="D126" i="5" s="1"/>
  <c r="S264" i="2"/>
  <c r="J264" i="2"/>
  <c r="D125" i="5" s="1"/>
  <c r="S263" i="2"/>
  <c r="J263" i="2"/>
  <c r="D123" i="5" s="1"/>
  <c r="S262" i="2"/>
  <c r="J262" i="2"/>
  <c r="D127" i="5" s="1"/>
  <c r="S261" i="2"/>
  <c r="J261" i="2"/>
  <c r="D122" i="5" s="1"/>
  <c r="S257" i="2"/>
  <c r="J257" i="2"/>
  <c r="D141" i="5" s="1"/>
  <c r="S256" i="2"/>
  <c r="J256" i="2"/>
  <c r="D140" i="5" s="1"/>
  <c r="S255" i="2"/>
  <c r="J255" i="2"/>
  <c r="D26" i="5" s="1"/>
  <c r="S254" i="2"/>
  <c r="J254" i="2"/>
  <c r="D17" i="5" s="1"/>
  <c r="S253" i="2"/>
  <c r="J253" i="2"/>
  <c r="D27" i="5" s="1"/>
  <c r="S249" i="2"/>
  <c r="J249" i="2"/>
  <c r="D147" i="5" s="1"/>
  <c r="S248" i="2"/>
  <c r="J248" i="2"/>
  <c r="D60" i="5" s="1"/>
  <c r="S247" i="2"/>
  <c r="J247" i="2"/>
  <c r="D76" i="5" s="1"/>
  <c r="S246" i="2"/>
  <c r="J246" i="2"/>
  <c r="D85" i="5" s="1"/>
  <c r="S245" i="2"/>
  <c r="J245" i="2"/>
  <c r="D51" i="5" s="1"/>
  <c r="S241" i="2"/>
  <c r="J241" i="2"/>
  <c r="D114" i="5" s="1"/>
  <c r="S240" i="2"/>
  <c r="J240" i="2"/>
  <c r="D35" i="5" s="1"/>
  <c r="S239" i="2"/>
  <c r="J239" i="2"/>
  <c r="D109" i="5" s="1"/>
  <c r="S238" i="2"/>
  <c r="J238" i="2"/>
  <c r="D83" i="5" s="1"/>
  <c r="S237" i="2"/>
  <c r="J237" i="2"/>
  <c r="D101" i="5" s="1"/>
  <c r="S233" i="2"/>
  <c r="J233" i="2"/>
  <c r="D180" i="5" s="1"/>
  <c r="S232" i="2"/>
  <c r="J232" i="2"/>
  <c r="D63" i="5" s="1"/>
  <c r="S231" i="2"/>
  <c r="J231" i="2"/>
  <c r="D59" i="5" s="1"/>
  <c r="S230" i="2"/>
  <c r="J230" i="2"/>
  <c r="D68" i="5" s="1"/>
  <c r="S229" i="2"/>
  <c r="J229" i="2"/>
  <c r="D47" i="5" s="1"/>
  <c r="S225" i="2"/>
  <c r="J225" i="2"/>
  <c r="D160" i="5" s="1"/>
  <c r="S224" i="2"/>
  <c r="J224" i="2"/>
  <c r="D72" i="5" s="1"/>
  <c r="S223" i="2"/>
  <c r="J223" i="2"/>
  <c r="D106" i="5" s="1"/>
  <c r="S222" i="2"/>
  <c r="J222" i="2"/>
  <c r="D84" i="5" s="1"/>
  <c r="S221" i="2"/>
  <c r="J221" i="2"/>
  <c r="D96" i="5" s="1"/>
  <c r="S217" i="2"/>
  <c r="J217" i="2"/>
  <c r="D158" i="5" s="1"/>
  <c r="S216" i="2"/>
  <c r="J216" i="2"/>
  <c r="D110" i="5" s="1"/>
  <c r="S215" i="2"/>
  <c r="J215" i="2"/>
  <c r="D89" i="5" s="1"/>
  <c r="S214" i="2"/>
  <c r="J214" i="2"/>
  <c r="D80" i="5" s="1"/>
  <c r="S213" i="2"/>
  <c r="J213" i="2"/>
  <c r="D86" i="5" s="1"/>
  <c r="S209" i="2"/>
  <c r="J209" i="2"/>
  <c r="D179" i="5" s="1"/>
  <c r="S208" i="2"/>
  <c r="J208" i="2"/>
  <c r="D117" i="5" s="1"/>
  <c r="S207" i="2"/>
  <c r="J207" i="2"/>
  <c r="D112" i="5" s="1"/>
  <c r="S206" i="2"/>
  <c r="J206" i="2"/>
  <c r="D115" i="5" s="1"/>
  <c r="S205" i="2"/>
  <c r="J205" i="2"/>
  <c r="D107" i="5" s="1"/>
  <c r="S201" i="2"/>
  <c r="J201" i="2"/>
  <c r="D178" i="5" s="1"/>
  <c r="S200" i="2"/>
  <c r="J200" i="2"/>
  <c r="D177" i="5" s="1"/>
  <c r="S199" i="2"/>
  <c r="J199" i="2"/>
  <c r="D61" i="5" s="1"/>
  <c r="S198" i="2"/>
  <c r="J198" i="2"/>
  <c r="D58" i="5" s="1"/>
  <c r="S197" i="2"/>
  <c r="J197" i="2"/>
  <c r="D66" i="5" s="1"/>
  <c r="S193" i="2"/>
  <c r="J193" i="2"/>
  <c r="D90" i="5" s="1"/>
  <c r="S192" i="2"/>
  <c r="J192" i="2"/>
  <c r="D97" i="5" s="1"/>
  <c r="S191" i="2"/>
  <c r="J191" i="2"/>
  <c r="D105" i="5" s="1"/>
  <c r="S190" i="2"/>
  <c r="J190" i="2"/>
  <c r="D103" i="5" s="1"/>
  <c r="S189" i="2"/>
  <c r="J189" i="2"/>
  <c r="D87" i="5" s="1"/>
  <c r="S185" i="2"/>
  <c r="J185" i="2"/>
  <c r="D124" i="5" s="1"/>
  <c r="S184" i="2"/>
  <c r="J184" i="2"/>
  <c r="D119" i="5" s="1"/>
  <c r="S183" i="2"/>
  <c r="J183" i="2"/>
  <c r="D121" i="5" s="1"/>
  <c r="S182" i="2"/>
  <c r="J182" i="2"/>
  <c r="D118" i="5" s="1"/>
  <c r="S181" i="2"/>
  <c r="J181" i="2"/>
  <c r="D120" i="5" s="1"/>
  <c r="S177" i="2"/>
  <c r="J177" i="2"/>
  <c r="D139" i="5" s="1"/>
  <c r="S176" i="2"/>
  <c r="J176" i="2"/>
  <c r="D138" i="5" s="1"/>
  <c r="S175" i="2"/>
  <c r="J175" i="2"/>
  <c r="D45" i="5" s="1"/>
  <c r="S174" i="2"/>
  <c r="J174" i="2"/>
  <c r="D55" i="5" s="1"/>
  <c r="S173" i="2"/>
  <c r="J173" i="2"/>
  <c r="D67" i="5" s="1"/>
  <c r="S169" i="2"/>
  <c r="J169" i="2"/>
  <c r="D143" i="5" s="1"/>
  <c r="S168" i="2"/>
  <c r="J168" i="2"/>
  <c r="D144" i="5" s="1"/>
  <c r="S167" i="2"/>
  <c r="J167" i="2"/>
  <c r="D13" i="5" s="1"/>
  <c r="S166" i="2"/>
  <c r="J166" i="2"/>
  <c r="D10" i="5" s="1"/>
  <c r="S165" i="2"/>
  <c r="J165" i="2"/>
  <c r="D15" i="5" s="1"/>
  <c r="S161" i="2"/>
  <c r="J161" i="2"/>
  <c r="D79" i="5" s="1"/>
  <c r="S160" i="2"/>
  <c r="J160" i="2"/>
  <c r="D100" i="5" s="1"/>
  <c r="S159" i="2"/>
  <c r="J159" i="2"/>
  <c r="D92" i="5" s="1"/>
  <c r="S158" i="2"/>
  <c r="J158" i="2"/>
  <c r="D94" i="5" s="1"/>
  <c r="S157" i="2"/>
  <c r="J157" i="2"/>
  <c r="D93" i="5" s="1"/>
  <c r="S153" i="2"/>
  <c r="J153" i="2"/>
  <c r="D176" i="5" s="1"/>
  <c r="S152" i="2"/>
  <c r="J152" i="2"/>
  <c r="D108" i="5" s="1"/>
  <c r="S151" i="2"/>
  <c r="J151" i="2"/>
  <c r="D99" i="5" s="1"/>
  <c r="S150" i="2"/>
  <c r="J150" i="2"/>
  <c r="D98" i="5" s="1"/>
  <c r="S149" i="2"/>
  <c r="J149" i="2"/>
  <c r="D111" i="5" s="1"/>
  <c r="S145" i="2"/>
  <c r="J145" i="2"/>
  <c r="D29" i="5" s="1"/>
  <c r="S144" i="2"/>
  <c r="J144" i="2"/>
  <c r="D7" i="5" s="1"/>
  <c r="S143" i="2"/>
  <c r="J143" i="2"/>
  <c r="D22" i="5" s="1"/>
  <c r="S142" i="2"/>
  <c r="J142" i="2"/>
  <c r="D150" i="5" s="1"/>
  <c r="S141" i="2"/>
  <c r="J141" i="2"/>
  <c r="D41" i="5" s="1"/>
  <c r="S137" i="2"/>
  <c r="J137" i="2"/>
  <c r="D175" i="5" s="1"/>
  <c r="S136" i="2"/>
  <c r="J136" i="2"/>
  <c r="D162" i="5" s="1"/>
  <c r="S135" i="2"/>
  <c r="J135" i="2"/>
  <c r="D34" i="5" s="1"/>
  <c r="S134" i="2"/>
  <c r="J134" i="2"/>
  <c r="D42" i="5" s="1"/>
  <c r="S133" i="2"/>
  <c r="J133" i="2"/>
  <c r="D77" i="5" s="1"/>
  <c r="S129" i="2"/>
  <c r="J129" i="2"/>
  <c r="D174" i="5" s="1"/>
  <c r="S128" i="2"/>
  <c r="J128" i="2"/>
  <c r="D173" i="5" s="1"/>
  <c r="S127" i="2"/>
  <c r="J127" i="2"/>
  <c r="D57" i="5" s="1"/>
  <c r="S126" i="2"/>
  <c r="J126" i="2"/>
  <c r="D102" i="5" s="1"/>
  <c r="S125" i="2"/>
  <c r="J125" i="2"/>
  <c r="D74" i="5" s="1"/>
  <c r="S121" i="2"/>
  <c r="J121" i="2"/>
  <c r="D172" i="5" s="1"/>
  <c r="S120" i="2"/>
  <c r="J120" i="2"/>
  <c r="D157" i="5" s="1"/>
  <c r="S119" i="2"/>
  <c r="J119" i="2"/>
  <c r="D65" i="5" s="1"/>
  <c r="S118" i="2"/>
  <c r="J118" i="2"/>
  <c r="D91" i="5" s="1"/>
  <c r="S117" i="2"/>
  <c r="J117" i="2"/>
  <c r="D30" i="5" s="1"/>
  <c r="S113" i="2"/>
  <c r="J113" i="2"/>
  <c r="D171" i="5" s="1"/>
  <c r="S112" i="2"/>
  <c r="J112" i="2"/>
  <c r="D152" i="5" s="1"/>
  <c r="S111" i="2"/>
  <c r="J111" i="2"/>
  <c r="D95" i="5" s="1"/>
  <c r="S110" i="2"/>
  <c r="J110" i="2"/>
  <c r="D62" i="5" s="1"/>
  <c r="S109" i="2"/>
  <c r="J109" i="2"/>
  <c r="D49" i="5" s="1"/>
  <c r="S105" i="2"/>
  <c r="J105" i="2"/>
  <c r="D170" i="5" s="1"/>
  <c r="S104" i="2"/>
  <c r="J104" i="2"/>
  <c r="D56" i="5" s="1"/>
  <c r="S103" i="2"/>
  <c r="J103" i="2"/>
  <c r="D46" i="5" s="1"/>
  <c r="S102" i="2"/>
  <c r="J102" i="2"/>
  <c r="D33" i="5" s="1"/>
  <c r="S101" i="2"/>
  <c r="J101" i="2"/>
  <c r="D16" i="5" s="1"/>
  <c r="S97" i="2"/>
  <c r="J97" i="2"/>
  <c r="D169" i="5" s="1"/>
  <c r="S96" i="2"/>
  <c r="J96" i="2"/>
  <c r="D54" i="5" s="1"/>
  <c r="S95" i="2"/>
  <c r="J95" i="2"/>
  <c r="D50" i="5" s="1"/>
  <c r="S94" i="2"/>
  <c r="J94" i="2"/>
  <c r="D11" i="5" s="1"/>
  <c r="S93" i="2"/>
  <c r="J93" i="2"/>
  <c r="D20" i="5" s="1"/>
  <c r="S89" i="2"/>
  <c r="J89" i="2"/>
  <c r="D146" i="5" s="1"/>
  <c r="S88" i="2"/>
  <c r="J88" i="2"/>
  <c r="D18" i="5" s="1"/>
  <c r="S87" i="2"/>
  <c r="J87" i="2"/>
  <c r="D75" i="5" s="1"/>
  <c r="S86" i="2"/>
  <c r="J86" i="2"/>
  <c r="D32" i="5" s="1"/>
  <c r="S85" i="2"/>
  <c r="J85" i="2"/>
  <c r="D37" i="5" s="1"/>
  <c r="S73" i="2"/>
  <c r="J73" i="2"/>
  <c r="D168" i="5" s="1"/>
  <c r="S72" i="2"/>
  <c r="J72" i="2"/>
  <c r="D167" i="5" s="1"/>
  <c r="S71" i="2"/>
  <c r="J71" i="2"/>
  <c r="D70" i="5" s="1"/>
  <c r="S70" i="2"/>
  <c r="J70" i="2"/>
  <c r="D104" i="5" s="1"/>
  <c r="S69" i="2"/>
  <c r="J69" i="2"/>
  <c r="D73" i="5" s="1"/>
  <c r="S65" i="2"/>
  <c r="J65" i="2"/>
  <c r="D166" i="5" s="1"/>
  <c r="S64" i="2"/>
  <c r="J64" i="2"/>
  <c r="D25" i="5" s="1"/>
  <c r="S63" i="2"/>
  <c r="J63" i="2"/>
  <c r="D21" i="5" s="1"/>
  <c r="S62" i="2"/>
  <c r="J62" i="2"/>
  <c r="D36" i="5" s="1"/>
  <c r="S61" i="2"/>
  <c r="J61" i="2"/>
  <c r="D38" i="5" s="1"/>
  <c r="S57" i="2"/>
  <c r="J57" i="2"/>
  <c r="D165" i="5" s="1"/>
  <c r="S56" i="2"/>
  <c r="J56" i="2"/>
  <c r="D161" i="5" s="1"/>
  <c r="S55" i="2"/>
  <c r="J55" i="2"/>
  <c r="D64" i="5" s="1"/>
  <c r="S54" i="2"/>
  <c r="J54" i="2"/>
  <c r="D8" i="5" s="1"/>
  <c r="S53" i="2"/>
  <c r="J53" i="2"/>
  <c r="D113" i="5" s="1"/>
  <c r="S49" i="2"/>
  <c r="J49" i="2"/>
  <c r="D154" i="5" s="1"/>
  <c r="S48" i="2"/>
  <c r="J48" i="2"/>
  <c r="D156" i="5" s="1"/>
  <c r="S47" i="2"/>
  <c r="J47" i="2"/>
  <c r="D116" i="5" s="1"/>
  <c r="S46" i="2"/>
  <c r="J46" i="2"/>
  <c r="D88" i="5" s="1"/>
  <c r="S45" i="2"/>
  <c r="J45" i="2"/>
  <c r="D81" i="5" s="1"/>
  <c r="S41" i="2"/>
  <c r="J41" i="2"/>
  <c r="D159" i="5" s="1"/>
  <c r="S40" i="2"/>
  <c r="J40" i="2"/>
  <c r="D155" i="5" s="1"/>
  <c r="S39" i="2"/>
  <c r="J39" i="2"/>
  <c r="D44" i="5" s="1"/>
  <c r="S38" i="2"/>
  <c r="J38" i="2"/>
  <c r="D39" i="5" s="1"/>
  <c r="S37" i="2"/>
  <c r="J37" i="2"/>
  <c r="D43" i="5" s="1"/>
  <c r="S33" i="2"/>
  <c r="J33" i="2"/>
  <c r="D153" i="5" s="1"/>
  <c r="S32" i="2"/>
  <c r="J32" i="2"/>
  <c r="D31" i="5" s="1"/>
  <c r="S31" i="2"/>
  <c r="J31" i="2"/>
  <c r="D53" i="5" s="1"/>
  <c r="S30" i="2"/>
  <c r="J30" i="2"/>
  <c r="D52" i="5" s="1"/>
  <c r="S29" i="2"/>
  <c r="J29" i="2"/>
  <c r="D69" i="5" s="1"/>
  <c r="S25" i="2"/>
  <c r="J25" i="2"/>
  <c r="D151" i="5" s="1"/>
  <c r="S24" i="2"/>
  <c r="J24" i="2"/>
  <c r="D148" i="5" s="1"/>
  <c r="S23" i="2"/>
  <c r="J23" i="2"/>
  <c r="D6" i="5" s="1"/>
  <c r="S22" i="2"/>
  <c r="J22" i="2"/>
  <c r="D78" i="5" s="1"/>
  <c r="S21" i="2"/>
  <c r="J21" i="2"/>
  <c r="D48" i="5" s="1"/>
  <c r="S17" i="2"/>
  <c r="J17" i="2"/>
  <c r="D164" i="5" s="1"/>
  <c r="S16" i="2"/>
  <c r="J16" i="2"/>
  <c r="D149" i="5" s="1"/>
  <c r="S15" i="2"/>
  <c r="J15" i="2"/>
  <c r="D24" i="5" s="1"/>
  <c r="S14" i="2"/>
  <c r="J14" i="2"/>
  <c r="D12" i="5" s="1"/>
  <c r="J13" i="2"/>
  <c r="D9" i="5" s="1"/>
  <c r="J5" i="2"/>
  <c r="D23" i="5" s="1"/>
  <c r="S6" i="2"/>
  <c r="S7" i="2"/>
  <c r="S8" i="2"/>
  <c r="S9" i="2"/>
  <c r="S5" i="2"/>
  <c r="J6" i="2"/>
  <c r="D142" i="5" s="1"/>
  <c r="J7" i="2"/>
  <c r="D19" i="5" s="1"/>
  <c r="D163" i="5"/>
  <c r="J9" i="2"/>
  <c r="D14" i="5" s="1"/>
  <c r="S82" i="2" l="1"/>
  <c r="R82" i="2" s="1"/>
  <c r="D18" i="9" s="1"/>
  <c r="S18" i="2"/>
  <c r="R18" i="2" s="1"/>
  <c r="D6" i="9" s="1"/>
  <c r="S114" i="2"/>
  <c r="R114" i="2" s="1"/>
  <c r="D25" i="9" s="1"/>
  <c r="S154" i="2"/>
  <c r="R154" i="2" s="1"/>
  <c r="D34" i="9" s="1"/>
  <c r="S178" i="2"/>
  <c r="R178" i="2" s="1"/>
  <c r="D20" i="9" s="1"/>
  <c r="S250" i="2"/>
  <c r="R250" i="2" s="1"/>
  <c r="D24" i="9" s="1"/>
  <c r="S274" i="2"/>
  <c r="R274" i="2" s="1"/>
  <c r="D38" i="9" s="1"/>
  <c r="S50" i="2"/>
  <c r="R50" i="2" s="1"/>
  <c r="D33" i="9" s="1"/>
  <c r="S42" i="2"/>
  <c r="R42" i="2" s="1"/>
  <c r="D15" i="9" s="1"/>
  <c r="S106" i="2"/>
  <c r="R106" i="2" s="1"/>
  <c r="D13" i="9" s="1"/>
  <c r="S74" i="2"/>
  <c r="R74" i="2" s="1"/>
  <c r="D27" i="9" s="1"/>
  <c r="S138" i="2"/>
  <c r="R138" i="2" s="1"/>
  <c r="D17" i="9" s="1"/>
  <c r="S266" i="2"/>
  <c r="R266" i="2" s="1"/>
  <c r="D37" i="9" s="1"/>
  <c r="S26" i="2"/>
  <c r="S34" i="2"/>
  <c r="S66" i="2"/>
  <c r="R66" i="2" s="1"/>
  <c r="D11" i="9" s="1"/>
  <c r="S90" i="2"/>
  <c r="R90" i="2" s="1"/>
  <c r="D14" i="9" s="1"/>
  <c r="S98" i="2"/>
  <c r="R98" i="2" s="1"/>
  <c r="D10" i="9" s="1"/>
  <c r="S122" i="2"/>
  <c r="R122" i="2" s="1"/>
  <c r="D21" i="9" s="1"/>
  <c r="S130" i="2"/>
  <c r="R130" i="2" s="1"/>
  <c r="D26" i="9" s="1"/>
  <c r="S186" i="2"/>
  <c r="R186" i="2" s="1"/>
  <c r="D36" i="9" s="1"/>
  <c r="S194" i="2"/>
  <c r="R194" i="2" s="1"/>
  <c r="D32" i="9" s="1"/>
  <c r="S218" i="2"/>
  <c r="R218" i="2" s="1"/>
  <c r="D28" i="9" s="1"/>
  <c r="S282" i="2"/>
  <c r="R282" i="2" s="1"/>
  <c r="D39" i="9" s="1"/>
  <c r="S58" i="2"/>
  <c r="R58" i="2" s="1"/>
  <c r="D19" i="9" s="1"/>
  <c r="S162" i="2"/>
  <c r="R162" i="2" s="1"/>
  <c r="D30" i="9" s="1"/>
  <c r="S170" i="2"/>
  <c r="S202" i="2"/>
  <c r="R202" i="2" s="1"/>
  <c r="D23" i="9" s="1"/>
  <c r="S226" i="2"/>
  <c r="R226" i="2" s="1"/>
  <c r="D31" i="9" s="1"/>
  <c r="S234" i="2"/>
  <c r="R234" i="2" s="1"/>
  <c r="D22" i="9" s="1"/>
  <c r="S258" i="2"/>
  <c r="R258" i="2" s="1"/>
  <c r="D9" i="9" s="1"/>
  <c r="S146" i="2"/>
  <c r="R146" i="2" s="1"/>
  <c r="D8" i="9" s="1"/>
  <c r="S210" i="2"/>
  <c r="R210" i="2" s="1"/>
  <c r="D35" i="9" s="1"/>
  <c r="S242" i="2"/>
  <c r="R242" i="2" s="1"/>
  <c r="D29" i="9" s="1"/>
  <c r="S276" i="2"/>
  <c r="S228" i="2"/>
  <c r="S220" i="2"/>
  <c r="S204" i="2"/>
  <c r="S196" i="2"/>
  <c r="S188" i="2"/>
  <c r="S156" i="2"/>
  <c r="S140" i="2"/>
  <c r="S132" i="2"/>
  <c r="S124" i="2"/>
  <c r="S116" i="2"/>
  <c r="R26" i="2" l="1"/>
  <c r="D12" i="9" s="1"/>
  <c r="R34" i="2"/>
  <c r="D16" i="9" s="1"/>
  <c r="R170" i="2"/>
  <c r="D5" i="9" s="1"/>
  <c r="B31" i="5"/>
  <c r="A31" i="2"/>
  <c r="B53" i="5" s="1"/>
  <c r="A29" i="2"/>
  <c r="B69" i="5" s="1"/>
  <c r="A30" i="2"/>
  <c r="B52" i="5" s="1"/>
  <c r="S10" i="2" l="1"/>
  <c r="R10" i="2" l="1"/>
  <c r="D7" i="9" s="1"/>
  <c r="A3" i="5"/>
  <c r="A28" i="2"/>
  <c r="B16" i="9" s="1"/>
  <c r="A124" i="2"/>
  <c r="B26" i="9" s="1"/>
</calcChain>
</file>

<file path=xl/sharedStrings.xml><?xml version="1.0" encoding="utf-8"?>
<sst xmlns="http://schemas.openxmlformats.org/spreadsheetml/2006/main" count="188" uniqueCount="148">
  <si>
    <t>Runde</t>
  </si>
  <si>
    <t>IALT</t>
  </si>
  <si>
    <t>NR.</t>
  </si>
  <si>
    <t>Hold</t>
  </si>
  <si>
    <t>Navn</t>
  </si>
  <si>
    <t>Score</t>
  </si>
  <si>
    <t xml:space="preserve">Nr. </t>
  </si>
  <si>
    <t>Firmanavn / Hold</t>
  </si>
  <si>
    <t>Personlig score</t>
  </si>
  <si>
    <t>nr.</t>
  </si>
  <si>
    <t>Bjarne</t>
  </si>
  <si>
    <t>Birger</t>
  </si>
  <si>
    <t>Jensen 1</t>
  </si>
  <si>
    <t>Jannik</t>
  </si>
  <si>
    <t>Allan</t>
  </si>
  <si>
    <t>reserve</t>
  </si>
  <si>
    <t>Navn1</t>
  </si>
  <si>
    <t>Navn2</t>
  </si>
  <si>
    <t>Navn3</t>
  </si>
  <si>
    <t>Navn4</t>
  </si>
  <si>
    <t>Finn</t>
  </si>
  <si>
    <t>Jan</t>
  </si>
  <si>
    <t>Ole</t>
  </si>
  <si>
    <t>Carsten</t>
  </si>
  <si>
    <t>Per</t>
  </si>
  <si>
    <t>Flemming</t>
  </si>
  <si>
    <t>Team Kruse</t>
  </si>
  <si>
    <t>3 Kløver</t>
  </si>
  <si>
    <t>Erol</t>
  </si>
  <si>
    <t>Havnens Bisser</t>
  </si>
  <si>
    <t>Torben</t>
  </si>
  <si>
    <t>Finn Erik</t>
  </si>
  <si>
    <t>Egon</t>
  </si>
  <si>
    <t>Bitten</t>
  </si>
  <si>
    <t>Papirlageret</t>
  </si>
  <si>
    <t>Oliver</t>
  </si>
  <si>
    <t>Allan J</t>
  </si>
  <si>
    <t>Henrik S</t>
  </si>
  <si>
    <t>Maane</t>
  </si>
  <si>
    <t>Kim</t>
  </si>
  <si>
    <t>Pia</t>
  </si>
  <si>
    <t>Nordea</t>
  </si>
  <si>
    <t>Helga</t>
  </si>
  <si>
    <t>Jesper</t>
  </si>
  <si>
    <t>Alex</t>
  </si>
  <si>
    <t>Holm</t>
  </si>
  <si>
    <t>Ivan</t>
  </si>
  <si>
    <t>Heidi</t>
  </si>
  <si>
    <t>Ilse</t>
  </si>
  <si>
    <t>Die Herren</t>
  </si>
  <si>
    <t>Birgitte</t>
  </si>
  <si>
    <t>Laila Engebriksen</t>
  </si>
  <si>
    <t xml:space="preserve">Britt-Marie Andersen </t>
  </si>
  <si>
    <t>Tina Agger</t>
  </si>
  <si>
    <t>Noëlle Larsen</t>
  </si>
  <si>
    <t>Matz</t>
  </si>
  <si>
    <t>Tommy</t>
  </si>
  <si>
    <t>Nordbornholms Byggeforretning 2</t>
  </si>
  <si>
    <t>Nordbornholms Byggeforretning 1</t>
  </si>
  <si>
    <t>PC</t>
  </si>
  <si>
    <t>Magnus</t>
  </si>
  <si>
    <t>Michael</t>
  </si>
  <si>
    <t>Line</t>
  </si>
  <si>
    <t>Lene</t>
  </si>
  <si>
    <t>Bornfiber 1</t>
  </si>
  <si>
    <t>Bornfiber 2</t>
  </si>
  <si>
    <t>Torkild</t>
  </si>
  <si>
    <t>Mikki</t>
  </si>
  <si>
    <t xml:space="preserve">Lin </t>
  </si>
  <si>
    <t>BRK Team Tejn 1</t>
  </si>
  <si>
    <t>BRK Team Tejn 2</t>
  </si>
  <si>
    <t>Fantasy Girls</t>
  </si>
  <si>
    <t>Niels L</t>
  </si>
  <si>
    <t>Dan</t>
  </si>
  <si>
    <t>BOH 1'erne</t>
  </si>
  <si>
    <t>Birger k</t>
  </si>
  <si>
    <t>Mark</t>
  </si>
  <si>
    <t>BolsterBjerg</t>
  </si>
  <si>
    <t>Jensen 2</t>
  </si>
  <si>
    <t>Nordbornholms Byggeforretning 3</t>
  </si>
  <si>
    <t>Team Raghammer</t>
  </si>
  <si>
    <t>Trimmerne</t>
  </si>
  <si>
    <t>BOH 9'erne</t>
  </si>
  <si>
    <t>JLF</t>
  </si>
  <si>
    <t>Malerne 1</t>
  </si>
  <si>
    <t>Malerne 2</t>
  </si>
  <si>
    <t>Bowlinghallen</t>
  </si>
  <si>
    <t>El &amp; VVS 1</t>
  </si>
  <si>
    <t>Preben</t>
  </si>
  <si>
    <t>Bofa</t>
  </si>
  <si>
    <t>Elias</t>
  </si>
  <si>
    <t>DM</t>
  </si>
  <si>
    <t>Thomas</t>
  </si>
  <si>
    <t>Peter</t>
  </si>
  <si>
    <t>Claus</t>
  </si>
  <si>
    <t>Britt</t>
  </si>
  <si>
    <t>Jeff</t>
  </si>
  <si>
    <t>Kaya</t>
  </si>
  <si>
    <t>Birgitte P</t>
  </si>
  <si>
    <t>Christine</t>
  </si>
  <si>
    <t>Jeanette</t>
  </si>
  <si>
    <t>Rikke</t>
  </si>
  <si>
    <t>Sanne</t>
  </si>
  <si>
    <t>Winnie</t>
  </si>
  <si>
    <t>Leo</t>
  </si>
  <si>
    <t>Mik</t>
  </si>
  <si>
    <t>Nik</t>
  </si>
  <si>
    <t>AS</t>
  </si>
  <si>
    <t>Astrid</t>
  </si>
  <si>
    <t>Frederikke</t>
  </si>
  <si>
    <t>Annette</t>
  </si>
  <si>
    <t>Juline</t>
  </si>
  <si>
    <t>Gitte</t>
  </si>
  <si>
    <t>Ida</t>
  </si>
  <si>
    <t>Pernille</t>
  </si>
  <si>
    <t>Team TalBøwl</t>
  </si>
  <si>
    <t>Le Bowlers</t>
  </si>
  <si>
    <t>Jens-Ole</t>
  </si>
  <si>
    <t>Lauge</t>
  </si>
  <si>
    <t>anne</t>
  </si>
  <si>
    <t>casper</t>
  </si>
  <si>
    <t>kim</t>
  </si>
  <si>
    <t>Kris</t>
  </si>
  <si>
    <t>Mathias</t>
  </si>
  <si>
    <t>Steen</t>
  </si>
  <si>
    <t>Ukendt</t>
  </si>
  <si>
    <t>Brian</t>
  </si>
  <si>
    <t>Jackie</t>
  </si>
  <si>
    <t>Christina</t>
  </si>
  <si>
    <t>Kristian</t>
  </si>
  <si>
    <t>Rene</t>
  </si>
  <si>
    <t>Cliff</t>
  </si>
  <si>
    <t>Mogens</t>
  </si>
  <si>
    <t>Stefan</t>
  </si>
  <si>
    <t>ida</t>
  </si>
  <si>
    <t>Firma Bowlingturnering 2024</t>
  </si>
  <si>
    <t>Lone</t>
  </si>
  <si>
    <t xml:space="preserve"> </t>
  </si>
  <si>
    <t>Team Majami</t>
  </si>
  <si>
    <t>Linette</t>
  </si>
  <si>
    <t>Birthe</t>
  </si>
  <si>
    <t>Herluf</t>
  </si>
  <si>
    <t>Tina</t>
  </si>
  <si>
    <t>Nicky</t>
  </si>
  <si>
    <t>Mads</t>
  </si>
  <si>
    <t>Nyboes Auto</t>
  </si>
  <si>
    <t>Kasper</t>
  </si>
  <si>
    <t>Keld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</si>
</sst>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9"/>
      <color indexed="9"/>
      <name val="Arial"/>
      <family val="2"/>
    </font>
    <font>
      <b/>
      <sz val="9"/>
      <color rgb="FFFFFF00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</font>
    <font>
      <sz val="10"/>
      <name val="Verdana"/>
      <family val="2"/>
    </font>
    <font>
      <sz val="10"/>
      <color rgb="FF002060"/>
      <name val="Verdana"/>
      <family val="2"/>
    </font>
    <font>
      <b/>
      <sz val="11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39" fillId="0" borderId="0" applyNumberFormat="0" applyFill="0" applyBorder="0" applyAlignment="0" applyProtection="0"/>
    <xf numFmtId="0" fontId="36" fillId="3" borderId="15" applyNumberFormat="0" applyFont="0" applyAlignment="0" applyProtection="0"/>
    <xf numFmtId="0" fontId="40" fillId="4" borderId="16" applyNumberFormat="0" applyAlignment="0" applyProtection="0"/>
    <xf numFmtId="0" fontId="41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43" fillId="6" borderId="16" applyNumberFormat="0" applyAlignment="0" applyProtection="0"/>
    <xf numFmtId="0" fontId="44" fillId="7" borderId="0" applyNumberFormat="0" applyBorder="0" applyAlignment="0" applyProtection="0"/>
    <xf numFmtId="0" fontId="38" fillId="0" borderId="0"/>
    <xf numFmtId="0" fontId="45" fillId="4" borderId="17" applyNumberFormat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2" fillId="8" borderId="0" applyNumberFormat="0" applyBorder="0" applyAlignment="0" applyProtection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165">
    <xf numFmtId="0" fontId="0" fillId="0" borderId="0" xfId="0"/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/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31" fillId="0" borderId="0" xfId="0" applyFont="1" applyBorder="1"/>
    <xf numFmtId="0" fontId="31" fillId="0" borderId="0" xfId="0" applyFont="1" applyFill="1" applyBorder="1"/>
    <xf numFmtId="0" fontId="32" fillId="0" borderId="0" xfId="0" applyFont="1" applyAlignment="1">
      <alignment horizontal="center"/>
    </xf>
    <xf numFmtId="0" fontId="53" fillId="0" borderId="0" xfId="0" applyFont="1"/>
    <xf numFmtId="0" fontId="0" fillId="0" borderId="7" xfId="0" applyBorder="1"/>
    <xf numFmtId="0" fontId="30" fillId="0" borderId="8" xfId="0" applyFont="1" applyBorder="1"/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1" fontId="0" fillId="0" borderId="0" xfId="0" applyNumberFormat="1" applyBorder="1"/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56" fillId="9" borderId="0" xfId="0" applyFont="1" applyFill="1" applyAlignment="1">
      <alignment horizontal="center"/>
    </xf>
    <xf numFmtId="1" fontId="30" fillId="0" borderId="0" xfId="0" applyNumberFormat="1" applyFont="1" applyBorder="1"/>
    <xf numFmtId="1" fontId="0" fillId="0" borderId="0" xfId="0" applyNumberFormat="1"/>
    <xf numFmtId="1" fontId="29" fillId="0" borderId="1" xfId="18" applyNumberFormat="1" applyBorder="1"/>
    <xf numFmtId="0" fontId="0" fillId="0" borderId="24" xfId="0" applyBorder="1"/>
    <xf numFmtId="0" fontId="30" fillId="10" borderId="5" xfId="0" applyFont="1" applyFill="1" applyBorder="1"/>
    <xf numFmtId="0" fontId="30" fillId="10" borderId="26" xfId="0" applyFont="1" applyFill="1" applyBorder="1"/>
    <xf numFmtId="1" fontId="0" fillId="0" borderId="27" xfId="0" applyNumberFormat="1" applyBorder="1"/>
    <xf numFmtId="0" fontId="0" fillId="0" borderId="0" xfId="0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0" fillId="9" borderId="31" xfId="0" applyFill="1" applyBorder="1"/>
    <xf numFmtId="0" fontId="55" fillId="9" borderId="23" xfId="0" applyFont="1" applyFill="1" applyBorder="1" applyAlignment="1">
      <alignment horizontal="center"/>
    </xf>
    <xf numFmtId="0" fontId="55" fillId="9" borderId="2" xfId="0" applyFont="1" applyFill="1" applyBorder="1" applyAlignment="1">
      <alignment horizontal="center"/>
    </xf>
    <xf numFmtId="0" fontId="55" fillId="9" borderId="34" xfId="0" applyFont="1" applyFill="1" applyBorder="1" applyAlignment="1">
      <alignment horizontal="center"/>
    </xf>
    <xf numFmtId="0" fontId="57" fillId="2" borderId="8" xfId="0" applyFont="1" applyFill="1" applyBorder="1" applyAlignment="1">
      <alignment horizontal="center"/>
    </xf>
    <xf numFmtId="0" fontId="37" fillId="2" borderId="9" xfId="0" applyFont="1" applyFill="1" applyBorder="1" applyAlignment="1">
      <alignment horizontal="center"/>
    </xf>
    <xf numFmtId="0" fontId="37" fillId="2" borderId="9" xfId="0" applyFont="1" applyFill="1" applyBorder="1" applyAlignment="1">
      <alignment horizontal="right"/>
    </xf>
    <xf numFmtId="0" fontId="37" fillId="2" borderId="33" xfId="0" applyFont="1" applyFill="1" applyBorder="1" applyAlignment="1">
      <alignment horizontal="left"/>
    </xf>
    <xf numFmtId="0" fontId="0" fillId="0" borderId="0" xfId="0" applyFill="1"/>
    <xf numFmtId="0" fontId="30" fillId="10" borderId="14" xfId="0" applyFont="1" applyFill="1" applyBorder="1"/>
    <xf numFmtId="0" fontId="0" fillId="0" borderId="6" xfId="0" applyBorder="1"/>
    <xf numFmtId="0" fontId="0" fillId="0" borderId="32" xfId="0" applyBorder="1"/>
    <xf numFmtId="0" fontId="51" fillId="0" borderId="0" xfId="18" applyFont="1" applyFill="1" applyBorder="1" applyAlignment="1">
      <alignment horizontal="center"/>
    </xf>
    <xf numFmtId="0" fontId="31" fillId="0" borderId="0" xfId="18" applyFont="1" applyFill="1" applyBorder="1" applyAlignment="1">
      <alignment horizontal="left"/>
    </xf>
    <xf numFmtId="0" fontId="29" fillId="0" borderId="0" xfId="18" applyFont="1" applyFill="1" applyBorder="1" applyAlignment="1">
      <alignment horizontal="left"/>
    </xf>
    <xf numFmtId="0" fontId="59" fillId="0" borderId="0" xfId="18" applyFont="1" applyBorder="1" applyAlignment="1">
      <alignment vertical="center"/>
    </xf>
    <xf numFmtId="0" fontId="29" fillId="0" borderId="0" xfId="18" applyBorder="1"/>
    <xf numFmtId="0" fontId="60" fillId="0" borderId="0" xfId="0" applyFont="1"/>
    <xf numFmtId="0" fontId="61" fillId="0" borderId="0" xfId="0" applyFont="1"/>
    <xf numFmtId="0" fontId="60" fillId="0" borderId="0" xfId="0" applyFont="1" applyFill="1" applyBorder="1"/>
    <xf numFmtId="0" fontId="60" fillId="0" borderId="0" xfId="0" applyFont="1" applyBorder="1"/>
    <xf numFmtId="0" fontId="31" fillId="0" borderId="0" xfId="0" applyFont="1" applyAlignment="1">
      <alignment horizontal="left"/>
    </xf>
    <xf numFmtId="0" fontId="35" fillId="0" borderId="4" xfId="0" applyFont="1" applyBorder="1" applyAlignment="1">
      <alignment horizontal="left"/>
    </xf>
    <xf numFmtId="0" fontId="35" fillId="0" borderId="5" xfId="0" applyFont="1" applyBorder="1" applyAlignment="1">
      <alignment horizontal="center"/>
    </xf>
    <xf numFmtId="0" fontId="60" fillId="0" borderId="0" xfId="0" applyFont="1"/>
    <xf numFmtId="0" fontId="0" fillId="0" borderId="1" xfId="0" applyBorder="1"/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horizontal="left"/>
    </xf>
    <xf numFmtId="1" fontId="0" fillId="0" borderId="0" xfId="0" applyNumberFormat="1"/>
    <xf numFmtId="0" fontId="60" fillId="0" borderId="0" xfId="0" applyFont="1"/>
    <xf numFmtId="1" fontId="35" fillId="0" borderId="1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0" fillId="0" borderId="24" xfId="0" applyFill="1" applyBorder="1"/>
    <xf numFmtId="0" fontId="0" fillId="0" borderId="1" xfId="0" applyFill="1" applyBorder="1"/>
    <xf numFmtId="1" fontId="0" fillId="0" borderId="0" xfId="0" applyNumberFormat="1" applyFill="1" applyBorder="1"/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1" fontId="29" fillId="0" borderId="7" xfId="18" applyNumberFormat="1" applyBorder="1"/>
    <xf numFmtId="0" fontId="0" fillId="0" borderId="38" xfId="0" applyBorder="1"/>
    <xf numFmtId="1" fontId="29" fillId="0" borderId="24" xfId="18" applyNumberFormat="1" applyBorder="1"/>
    <xf numFmtId="0" fontId="0" fillId="10" borderId="12" xfId="0" applyFill="1" applyBorder="1"/>
    <xf numFmtId="0" fontId="0" fillId="10" borderId="13" xfId="0" applyFill="1" applyBorder="1"/>
    <xf numFmtId="0" fontId="0" fillId="10" borderId="14" xfId="0" applyFill="1" applyBorder="1"/>
    <xf numFmtId="0" fontId="30" fillId="0" borderId="14" xfId="0" applyFont="1" applyFill="1" applyBorder="1" applyAlignment="1">
      <alignment horizontal="center"/>
    </xf>
    <xf numFmtId="0" fontId="30" fillId="11" borderId="37" xfId="0" applyFont="1" applyFill="1" applyBorder="1" applyAlignment="1">
      <alignment horizontal="center"/>
    </xf>
    <xf numFmtId="0" fontId="30" fillId="11" borderId="39" xfId="0" applyFont="1" applyFill="1" applyBorder="1" applyAlignment="1">
      <alignment horizontal="center"/>
    </xf>
    <xf numFmtId="0" fontId="30" fillId="11" borderId="40" xfId="0" applyFont="1" applyFill="1" applyBorder="1" applyAlignment="1">
      <alignment horizontal="center"/>
    </xf>
    <xf numFmtId="1" fontId="29" fillId="0" borderId="35" xfId="18" applyNumberFormat="1" applyBorder="1"/>
    <xf numFmtId="1" fontId="29" fillId="0" borderId="36" xfId="18" applyNumberFormat="1" applyBorder="1"/>
    <xf numFmtId="1" fontId="29" fillId="0" borderId="41" xfId="18" applyNumberFormat="1" applyBorder="1"/>
    <xf numFmtId="0" fontId="27" fillId="0" borderId="37" xfId="18" applyFont="1" applyFill="1" applyBorder="1" applyAlignment="1">
      <alignment horizontal="left"/>
    </xf>
    <xf numFmtId="0" fontId="27" fillId="0" borderId="39" xfId="18" applyFont="1" applyFill="1" applyBorder="1" applyAlignment="1">
      <alignment horizontal="left"/>
    </xf>
    <xf numFmtId="0" fontId="27" fillId="0" borderId="40" xfId="18" applyFont="1" applyFill="1" applyBorder="1" applyAlignment="1">
      <alignment horizontal="left"/>
    </xf>
    <xf numFmtId="0" fontId="26" fillId="0" borderId="37" xfId="18" applyFont="1" applyFill="1" applyBorder="1" applyAlignment="1">
      <alignment horizontal="left"/>
    </xf>
    <xf numFmtId="0" fontId="26" fillId="0" borderId="39" xfId="18" applyFont="1" applyFill="1" applyBorder="1" applyAlignment="1">
      <alignment horizontal="left"/>
    </xf>
    <xf numFmtId="0" fontId="25" fillId="0" borderId="39" xfId="18" applyFont="1" applyFill="1" applyBorder="1" applyAlignment="1">
      <alignment horizontal="left"/>
    </xf>
    <xf numFmtId="0" fontId="24" fillId="0" borderId="39" xfId="18" applyFont="1" applyFill="1" applyBorder="1" applyAlignment="1">
      <alignment horizontal="left"/>
    </xf>
    <xf numFmtId="0" fontId="24" fillId="0" borderId="40" xfId="18" applyFont="1" applyFill="1" applyBorder="1" applyAlignment="1">
      <alignment horizontal="left"/>
    </xf>
    <xf numFmtId="0" fontId="24" fillId="0" borderId="37" xfId="18" applyFont="1" applyFill="1" applyBorder="1" applyAlignment="1">
      <alignment horizontal="left"/>
    </xf>
    <xf numFmtId="1" fontId="31" fillId="0" borderId="0" xfId="0" applyNumberFormat="1" applyFont="1" applyBorder="1"/>
    <xf numFmtId="0" fontId="23" fillId="0" borderId="40" xfId="18" applyFont="1" applyFill="1" applyBorder="1" applyAlignment="1">
      <alignment horizontal="left"/>
    </xf>
    <xf numFmtId="0" fontId="23" fillId="0" borderId="37" xfId="18" applyFont="1" applyFill="1" applyBorder="1" applyAlignment="1">
      <alignment horizontal="left"/>
    </xf>
    <xf numFmtId="0" fontId="23" fillId="0" borderId="39" xfId="18" applyFont="1" applyFill="1" applyBorder="1" applyAlignment="1">
      <alignment horizontal="left"/>
    </xf>
    <xf numFmtId="0" fontId="22" fillId="0" borderId="39" xfId="18" applyFont="1" applyFill="1" applyBorder="1" applyAlignment="1">
      <alignment horizontal="left"/>
    </xf>
    <xf numFmtId="0" fontId="22" fillId="0" borderId="37" xfId="18" applyFont="1" applyFill="1" applyBorder="1" applyAlignment="1">
      <alignment horizontal="left"/>
    </xf>
    <xf numFmtId="0" fontId="21" fillId="0" borderId="37" xfId="18" applyFont="1" applyFill="1" applyBorder="1" applyAlignment="1">
      <alignment horizontal="left"/>
    </xf>
    <xf numFmtId="0" fontId="21" fillId="0" borderId="39" xfId="18" applyFont="1" applyFill="1" applyBorder="1" applyAlignment="1">
      <alignment horizontal="left"/>
    </xf>
    <xf numFmtId="0" fontId="21" fillId="0" borderId="40" xfId="18" applyFont="1" applyFill="1" applyBorder="1" applyAlignment="1">
      <alignment horizontal="left"/>
    </xf>
    <xf numFmtId="0" fontId="20" fillId="0" borderId="37" xfId="18" applyFont="1" applyFill="1" applyBorder="1" applyAlignment="1">
      <alignment horizontal="left"/>
    </xf>
    <xf numFmtId="0" fontId="20" fillId="0" borderId="39" xfId="18" applyFont="1" applyFill="1" applyBorder="1" applyAlignment="1">
      <alignment horizontal="left"/>
    </xf>
    <xf numFmtId="0" fontId="19" fillId="0" borderId="39" xfId="18" applyFont="1" applyFill="1" applyBorder="1" applyAlignment="1">
      <alignment horizontal="left"/>
    </xf>
    <xf numFmtId="0" fontId="18" fillId="0" borderId="39" xfId="18" applyFont="1" applyFill="1" applyBorder="1" applyAlignment="1">
      <alignment horizontal="left"/>
    </xf>
    <xf numFmtId="0" fontId="62" fillId="0" borderId="14" xfId="0" applyFont="1" applyFill="1" applyBorder="1" applyAlignment="1">
      <alignment horizontal="center"/>
    </xf>
    <xf numFmtId="0" fontId="63" fillId="0" borderId="0" xfId="0" applyFont="1"/>
    <xf numFmtId="0" fontId="65" fillId="0" borderId="0" xfId="0" applyFont="1" applyAlignment="1">
      <alignment vertical="center"/>
    </xf>
    <xf numFmtId="0" fontId="17" fillId="0" borderId="39" xfId="18" applyFont="1" applyFill="1" applyBorder="1" applyAlignment="1">
      <alignment horizontal="left"/>
    </xf>
    <xf numFmtId="0" fontId="16" fillId="0" borderId="37" xfId="18" applyFont="1" applyFill="1" applyBorder="1" applyAlignment="1">
      <alignment horizontal="left"/>
    </xf>
    <xf numFmtId="0" fontId="16" fillId="0" borderId="39" xfId="18" applyFont="1" applyFill="1" applyBorder="1" applyAlignment="1">
      <alignment horizontal="left"/>
    </xf>
    <xf numFmtId="1" fontId="16" fillId="0" borderId="1" xfId="18" applyNumberFormat="1" applyFont="1" applyBorder="1"/>
    <xf numFmtId="0" fontId="16" fillId="0" borderId="40" xfId="18" applyFont="1" applyFill="1" applyBorder="1" applyAlignment="1">
      <alignment horizontal="left"/>
    </xf>
    <xf numFmtId="0" fontId="66" fillId="0" borderId="26" xfId="0" applyFont="1" applyBorder="1" applyAlignment="1">
      <alignment vertical="center"/>
    </xf>
    <xf numFmtId="0" fontId="15" fillId="0" borderId="37" xfId="18" applyFont="1" applyFill="1" applyBorder="1" applyAlignment="1">
      <alignment horizontal="left"/>
    </xf>
    <xf numFmtId="0" fontId="15" fillId="0" borderId="39" xfId="18" applyFont="1" applyFill="1" applyBorder="1" applyAlignment="1">
      <alignment horizontal="left"/>
    </xf>
    <xf numFmtId="0" fontId="15" fillId="0" borderId="40" xfId="18" applyFont="1" applyFill="1" applyBorder="1" applyAlignment="1">
      <alignment horizontal="left"/>
    </xf>
    <xf numFmtId="1" fontId="0" fillId="0" borderId="24" xfId="0" applyNumberFormat="1" applyBorder="1"/>
    <xf numFmtId="1" fontId="15" fillId="0" borderId="24" xfId="18" applyNumberFormat="1" applyFont="1" applyBorder="1"/>
    <xf numFmtId="0" fontId="14" fillId="0" borderId="40" xfId="18" applyFont="1" applyFill="1" applyBorder="1" applyAlignment="1">
      <alignment horizontal="left"/>
    </xf>
    <xf numFmtId="0" fontId="14" fillId="0" borderId="39" xfId="18" applyFont="1" applyFill="1" applyBorder="1" applyAlignment="1">
      <alignment horizontal="left"/>
    </xf>
    <xf numFmtId="0" fontId="13" fillId="0" borderId="39" xfId="18" applyFont="1" applyFill="1" applyBorder="1" applyAlignment="1">
      <alignment horizontal="left"/>
    </xf>
    <xf numFmtId="0" fontId="12" fillId="0" borderId="40" xfId="18" applyFont="1" applyFill="1" applyBorder="1" applyAlignment="1">
      <alignment horizontal="left"/>
    </xf>
    <xf numFmtId="0" fontId="11" fillId="0" borderId="39" xfId="18" applyFont="1" applyFill="1" applyBorder="1" applyAlignment="1">
      <alignment horizontal="left"/>
    </xf>
    <xf numFmtId="0" fontId="10" fillId="0" borderId="40" xfId="18" applyFont="1" applyFill="1" applyBorder="1" applyAlignment="1">
      <alignment horizontal="left"/>
    </xf>
    <xf numFmtId="0" fontId="9" fillId="0" borderId="39" xfId="18" applyFont="1" applyFill="1" applyBorder="1" applyAlignment="1">
      <alignment horizontal="left"/>
    </xf>
    <xf numFmtId="0" fontId="9" fillId="0" borderId="40" xfId="18" applyFont="1" applyFill="1" applyBorder="1" applyAlignment="1">
      <alignment horizontal="left"/>
    </xf>
    <xf numFmtId="0" fontId="8" fillId="0" borderId="39" xfId="18" applyFont="1" applyFill="1" applyBorder="1" applyAlignment="1">
      <alignment horizontal="left"/>
    </xf>
    <xf numFmtId="0" fontId="66" fillId="0" borderId="26" xfId="0" applyFont="1" applyBorder="1" applyAlignment="1">
      <alignment horizontal="center" vertical="center"/>
    </xf>
    <xf numFmtId="0" fontId="7" fillId="0" borderId="37" xfId="18" applyFont="1" applyFill="1" applyBorder="1" applyAlignment="1">
      <alignment horizontal="left"/>
    </xf>
    <xf numFmtId="0" fontId="7" fillId="0" borderId="39" xfId="18" applyFont="1" applyFill="1" applyBorder="1" applyAlignment="1">
      <alignment horizontal="left"/>
    </xf>
    <xf numFmtId="1" fontId="7" fillId="0" borderId="1" xfId="18" applyNumberFormat="1" applyFont="1" applyBorder="1"/>
    <xf numFmtId="0" fontId="30" fillId="11" borderId="42" xfId="0" applyFont="1" applyFill="1" applyBorder="1" applyAlignment="1">
      <alignment horizontal="center"/>
    </xf>
    <xf numFmtId="0" fontId="62" fillId="0" borderId="33" xfId="0" applyFont="1" applyFill="1" applyBorder="1" applyAlignment="1">
      <alignment horizontal="center"/>
    </xf>
    <xf numFmtId="0" fontId="64" fillId="0" borderId="1" xfId="0" applyFont="1" applyBorder="1" applyAlignment="1">
      <alignment vertical="center"/>
    </xf>
    <xf numFmtId="0" fontId="62" fillId="0" borderId="26" xfId="0" applyFont="1" applyBorder="1" applyAlignment="1">
      <alignment horizontal="center" vertical="center"/>
    </xf>
    <xf numFmtId="0" fontId="35" fillId="12" borderId="1" xfId="0" applyFont="1" applyFill="1" applyBorder="1" applyAlignment="1">
      <alignment horizontal="center"/>
    </xf>
    <xf numFmtId="0" fontId="35" fillId="12" borderId="1" xfId="0" applyFont="1" applyFill="1" applyBorder="1" applyAlignment="1">
      <alignment horizontal="left"/>
    </xf>
    <xf numFmtId="1" fontId="35" fillId="12" borderId="1" xfId="0" applyNumberFormat="1" applyFont="1" applyFill="1" applyBorder="1" applyAlignment="1">
      <alignment horizontal="center"/>
    </xf>
    <xf numFmtId="0" fontId="6" fillId="0" borderId="37" xfId="18" applyFont="1" applyFill="1" applyBorder="1" applyAlignment="1">
      <alignment horizontal="left"/>
    </xf>
    <xf numFmtId="0" fontId="6" fillId="0" borderId="39" xfId="18" applyFont="1" applyFill="1" applyBorder="1" applyAlignment="1">
      <alignment horizontal="left"/>
    </xf>
    <xf numFmtId="0" fontId="6" fillId="0" borderId="37" xfId="18" applyFont="1" applyBorder="1" applyAlignment="1">
      <alignment horizontal="left"/>
    </xf>
    <xf numFmtId="0" fontId="6" fillId="0" borderId="39" xfId="18" applyFont="1" applyBorder="1" applyAlignment="1">
      <alignment horizontal="left"/>
    </xf>
    <xf numFmtId="0" fontId="5" fillId="0" borderId="40" xfId="18" applyFont="1" applyFill="1" applyBorder="1" applyAlignment="1">
      <alignment horizontal="left"/>
    </xf>
    <xf numFmtId="1" fontId="4" fillId="0" borderId="24" xfId="18" applyNumberFormat="1" applyFont="1" applyBorder="1"/>
    <xf numFmtId="0" fontId="31" fillId="0" borderId="6" xfId="0" applyFont="1" applyBorder="1"/>
    <xf numFmtId="0" fontId="4" fillId="0" borderId="40" xfId="18" applyFont="1" applyFill="1" applyBorder="1" applyAlignment="1">
      <alignment horizontal="left"/>
    </xf>
    <xf numFmtId="0" fontId="31" fillId="0" borderId="7" xfId="0" applyFont="1" applyBorder="1"/>
    <xf numFmtId="0" fontId="4" fillId="0" borderId="39" xfId="18" applyFont="1" applyFill="1" applyBorder="1" applyAlignment="1">
      <alignment horizontal="left"/>
    </xf>
    <xf numFmtId="0" fontId="3" fillId="0" borderId="37" xfId="18" applyFont="1" applyFill="1" applyBorder="1" applyAlignment="1">
      <alignment horizontal="left"/>
    </xf>
    <xf numFmtId="0" fontId="3" fillId="0" borderId="39" xfId="18" applyFont="1" applyFill="1" applyBorder="1" applyAlignment="1">
      <alignment horizontal="left"/>
    </xf>
    <xf numFmtId="0" fontId="2" fillId="0" borderId="37" xfId="18" applyFont="1" applyFill="1" applyBorder="1" applyAlignment="1">
      <alignment horizontal="left"/>
    </xf>
    <xf numFmtId="0" fontId="1" fillId="0" borderId="40" xfId="18" applyFont="1" applyFill="1" applyBorder="1" applyAlignment="1">
      <alignment horizontal="left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14" fontId="58" fillId="9" borderId="28" xfId="0" applyNumberFormat="1" applyFont="1" applyFill="1" applyBorder="1" applyAlignment="1">
      <alignment horizontal="center"/>
    </xf>
    <xf numFmtId="0" fontId="58" fillId="9" borderId="29" xfId="0" applyFont="1" applyFill="1" applyBorder="1" applyAlignment="1">
      <alignment horizontal="center"/>
    </xf>
    <xf numFmtId="0" fontId="58" fillId="9" borderId="3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54" fillId="9" borderId="13" xfId="0" applyFont="1" applyFill="1" applyBorder="1" applyAlignment="1">
      <alignment horizontal="center"/>
    </xf>
  </cellXfs>
  <cellStyles count="23">
    <cellStyle name="Advarselstekst" xfId="1" builtinId="11" customBuiltin="1"/>
    <cellStyle name="Bemærk! 2" xfId="2" xr:uid="{00000000-0005-0000-0000-000001000000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Neutral" xfId="7" builtinId="28" customBuiltin="1"/>
    <cellStyle name="Normal" xfId="0" builtinId="0"/>
    <cellStyle name="Normal 2" xfId="8" xr:uid="{00000000-0005-0000-0000-000008000000}"/>
    <cellStyle name="Normal 2 2" xfId="21" xr:uid="{00000000-0005-0000-0000-000009000000}"/>
    <cellStyle name="Normal 2 3" xfId="19" xr:uid="{00000000-0005-0000-0000-00000A000000}"/>
    <cellStyle name="Normal 3" xfId="18" xr:uid="{00000000-0005-0000-0000-00000B000000}"/>
    <cellStyle name="Normal 3 2" xfId="22" xr:uid="{00000000-0005-0000-0000-00000C000000}"/>
    <cellStyle name="Normal 3 3" xfId="20" xr:uid="{00000000-0005-0000-0000-00000D000000}"/>
    <cellStyle name="Output" xfId="9" builtinId="21" customBuiltin="1"/>
    <cellStyle name="Overskrift 1" xfId="10" builtinId="16" customBuiltin="1"/>
    <cellStyle name="Overskrift 2" xfId="11" builtinId="17" customBuiltin="1"/>
    <cellStyle name="Overskrift 3" xfId="12" builtinId="18" customBuiltin="1"/>
    <cellStyle name="Overskrift 4" xfId="13" builtinId="19" customBuiltin="1"/>
    <cellStyle name="Sammenkædet celle" xfId="14" builtinId="24" customBuiltin="1"/>
    <cellStyle name="Titel" xfId="15" builtinId="15" customBuiltin="1"/>
    <cellStyle name="Total" xfId="16" builtinId="25" customBuiltin="1"/>
    <cellStyle name="Ugyldig" xfId="1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9"/>
  <sheetViews>
    <sheetView tabSelected="1" workbookViewId="0">
      <selection activeCell="C13" sqref="C13"/>
    </sheetView>
  </sheetViews>
  <sheetFormatPr defaultRowHeight="12.75" x14ac:dyDescent="0.2"/>
  <cols>
    <col min="1" max="1" width="5" style="28" bestFit="1" customWidth="1"/>
    <col min="2" max="2" width="7.85546875" style="28" bestFit="1" customWidth="1"/>
    <col min="3" max="3" width="39.85546875" bestFit="1" customWidth="1"/>
    <col min="4" max="4" width="10.140625" customWidth="1"/>
  </cols>
  <sheetData>
    <row r="1" spans="1:4" x14ac:dyDescent="0.2">
      <c r="A1" s="156">
        <f ca="1">TODAY()</f>
        <v>45412</v>
      </c>
      <c r="B1" s="157"/>
      <c r="C1" s="157"/>
      <c r="D1" s="158"/>
    </row>
    <row r="2" spans="1:4" x14ac:dyDescent="0.2">
      <c r="A2" s="29"/>
      <c r="B2" s="30"/>
      <c r="C2" s="31"/>
      <c r="D2" s="32"/>
    </row>
    <row r="3" spans="1:4" ht="16.5" thickBot="1" x14ac:dyDescent="0.3">
      <c r="A3" s="33" t="s">
        <v>6</v>
      </c>
      <c r="B3" s="34" t="s">
        <v>3</v>
      </c>
      <c r="C3" s="34" t="s">
        <v>7</v>
      </c>
      <c r="D3" s="35" t="s">
        <v>5</v>
      </c>
    </row>
    <row r="4" spans="1:4" ht="15.75" x14ac:dyDescent="0.25">
      <c r="A4" s="36"/>
      <c r="B4" s="37"/>
      <c r="C4" s="38"/>
      <c r="D4" s="39"/>
    </row>
    <row r="5" spans="1:4" ht="15.75" x14ac:dyDescent="0.25">
      <c r="A5" s="136">
        <v>1</v>
      </c>
      <c r="B5" s="136">
        <f>Hold!A164</f>
        <v>21</v>
      </c>
      <c r="C5" s="137" t="str">
        <f>Hold!B164</f>
        <v>Bofa</v>
      </c>
      <c r="D5" s="138">
        <f>Hold!R170</f>
        <v>159.58333333333334</v>
      </c>
    </row>
    <row r="6" spans="1:4" ht="15.75" x14ac:dyDescent="0.25">
      <c r="A6" s="136">
        <v>2</v>
      </c>
      <c r="B6" s="136">
        <f>Hold!A12</f>
        <v>2</v>
      </c>
      <c r="C6" s="137" t="str">
        <f>Hold!B12</f>
        <v>Team Majami</v>
      </c>
      <c r="D6" s="138">
        <f>Hold!R18</f>
        <v>158.02777777777777</v>
      </c>
    </row>
    <row r="7" spans="1:4" ht="15.75" x14ac:dyDescent="0.25">
      <c r="A7" s="136">
        <v>3</v>
      </c>
      <c r="B7" s="136">
        <f>Hold!A4</f>
        <v>1</v>
      </c>
      <c r="C7" s="137" t="str">
        <f>Hold!B4</f>
        <v>Die Herren</v>
      </c>
      <c r="D7" s="138">
        <f>Hold!R10</f>
        <v>148.83333333333334</v>
      </c>
    </row>
    <row r="8" spans="1:4" ht="15.75" x14ac:dyDescent="0.25">
      <c r="A8" s="136">
        <v>4</v>
      </c>
      <c r="B8" s="136">
        <f>Hold!A140</f>
        <v>18</v>
      </c>
      <c r="C8" s="137" t="str">
        <f>Hold!B140</f>
        <v>Nordea</v>
      </c>
      <c r="D8" s="138">
        <f>Hold!R146</f>
        <v>147.11111111111111</v>
      </c>
    </row>
    <row r="9" spans="1:4" ht="15.75" x14ac:dyDescent="0.25">
      <c r="A9" s="136">
        <v>5</v>
      </c>
      <c r="B9" s="136">
        <f>Hold!A252</f>
        <v>32</v>
      </c>
      <c r="C9" s="137" t="str">
        <f>Hold!B252</f>
        <v>Nyboes Auto</v>
      </c>
      <c r="D9" s="138">
        <f>Hold!R258</f>
        <v>144.57142857142858</v>
      </c>
    </row>
    <row r="10" spans="1:4" ht="15.75" x14ac:dyDescent="0.25">
      <c r="A10" s="136">
        <v>6</v>
      </c>
      <c r="B10" s="136">
        <f>Hold!A92</f>
        <v>12</v>
      </c>
      <c r="C10" s="137" t="str">
        <f>Hold!B92</f>
        <v>Papirlageret</v>
      </c>
      <c r="D10" s="138">
        <f>Hold!R98</f>
        <v>139.60714285714286</v>
      </c>
    </row>
    <row r="11" spans="1:4" ht="15.75" x14ac:dyDescent="0.25">
      <c r="A11" s="136">
        <v>7</v>
      </c>
      <c r="B11" s="136">
        <f>Hold!A60</f>
        <v>8</v>
      </c>
      <c r="C11" s="137" t="str">
        <f>Hold!B60</f>
        <v>Jensen 1</v>
      </c>
      <c r="D11" s="138">
        <f>Hold!R66</f>
        <v>138.75</v>
      </c>
    </row>
    <row r="12" spans="1:4" ht="15.75" x14ac:dyDescent="0.25">
      <c r="A12" s="136">
        <v>8</v>
      </c>
      <c r="B12" s="136">
        <f>Hold!A20</f>
        <v>3</v>
      </c>
      <c r="C12" s="137" t="str">
        <f>Hold!B20</f>
        <v>Team Kruse</v>
      </c>
      <c r="D12" s="138">
        <f>Hold!R26</f>
        <v>136.47619047619048</v>
      </c>
    </row>
    <row r="13" spans="1:4" ht="15.75" x14ac:dyDescent="0.25">
      <c r="A13" s="136">
        <v>9</v>
      </c>
      <c r="B13" s="136">
        <f>Hold!A100</f>
        <v>13</v>
      </c>
      <c r="C13" s="137" t="str">
        <f>Hold!B100</f>
        <v>Fantasy Girls</v>
      </c>
      <c r="D13" s="138">
        <f>Hold!R106</f>
        <v>134.29166666666666</v>
      </c>
    </row>
    <row r="14" spans="1:4" ht="15.75" x14ac:dyDescent="0.25">
      <c r="A14" s="136">
        <v>10</v>
      </c>
      <c r="B14" s="136">
        <f>Hold!A84</f>
        <v>11</v>
      </c>
      <c r="C14" s="137" t="str">
        <f>Hold!B84</f>
        <v>BOH 1'erne</v>
      </c>
      <c r="D14" s="138">
        <f>Hold!R90</f>
        <v>133.25</v>
      </c>
    </row>
    <row r="15" spans="1:4" ht="15.75" x14ac:dyDescent="0.25">
      <c r="A15" s="136">
        <v>11</v>
      </c>
      <c r="B15" s="136">
        <f>Hold!A36</f>
        <v>5</v>
      </c>
      <c r="C15" s="137" t="str">
        <f>Hold!B36</f>
        <v>Bornfiber 2</v>
      </c>
      <c r="D15" s="138">
        <f>Hold!R42</f>
        <v>129.69444444444446</v>
      </c>
    </row>
    <row r="16" spans="1:4" ht="15.75" x14ac:dyDescent="0.25">
      <c r="A16" s="136">
        <v>12</v>
      </c>
      <c r="B16" s="136">
        <f>Hold!A28</f>
        <v>4</v>
      </c>
      <c r="C16" s="137" t="str">
        <f>Hold!B28</f>
        <v>Bornfiber 1</v>
      </c>
      <c r="D16" s="138">
        <f>Hold!R34</f>
        <v>126.02777777777777</v>
      </c>
    </row>
    <row r="17" spans="1:4" ht="15.75" x14ac:dyDescent="0.25">
      <c r="A17" s="136">
        <v>13</v>
      </c>
      <c r="B17" s="136">
        <f>Hold!A132</f>
        <v>17</v>
      </c>
      <c r="C17" s="137" t="str">
        <f>Hold!B132</f>
        <v>Team Raghammer</v>
      </c>
      <c r="D17" s="138">
        <f>Hold!R138</f>
        <v>125.66666666666667</v>
      </c>
    </row>
    <row r="18" spans="1:4" ht="15.75" x14ac:dyDescent="0.25">
      <c r="A18" s="136">
        <v>14</v>
      </c>
      <c r="B18" s="136">
        <f>Hold!A76</f>
        <v>10</v>
      </c>
      <c r="C18" s="137" t="str">
        <f>Hold!B76</f>
        <v>Havnens Bisser</v>
      </c>
      <c r="D18" s="138">
        <f>Hold!R82</f>
        <v>123.34</v>
      </c>
    </row>
    <row r="19" spans="1:4" ht="15.75" x14ac:dyDescent="0.25">
      <c r="A19" s="136">
        <v>15</v>
      </c>
      <c r="B19" s="136">
        <f>Hold!A52</f>
        <v>7</v>
      </c>
      <c r="C19" s="137" t="str">
        <f>Hold!B52</f>
        <v>BolsterBjerg</v>
      </c>
      <c r="D19" s="138">
        <f>Hold!R58</f>
        <v>123.26190476190476</v>
      </c>
    </row>
    <row r="20" spans="1:4" ht="15.75" x14ac:dyDescent="0.25">
      <c r="A20" s="136">
        <v>16</v>
      </c>
      <c r="B20" s="136">
        <f>Hold!A172</f>
        <v>22</v>
      </c>
      <c r="C20" s="137" t="str">
        <f>Hold!B172</f>
        <v>3 Kløver</v>
      </c>
      <c r="D20" s="138">
        <f>Hold!R178</f>
        <v>122.86111111111111</v>
      </c>
    </row>
    <row r="21" spans="1:4" ht="15.75" x14ac:dyDescent="0.25">
      <c r="A21" s="136">
        <v>17</v>
      </c>
      <c r="B21" s="136">
        <f>Hold!A116</f>
        <v>15</v>
      </c>
      <c r="C21" s="137" t="str">
        <f>Hold!B116</f>
        <v>Nordbornholms Byggeforretning 1</v>
      </c>
      <c r="D21" s="138">
        <f>Hold!R122</f>
        <v>121</v>
      </c>
    </row>
    <row r="22" spans="1:4" ht="15.75" x14ac:dyDescent="0.25">
      <c r="A22" s="136">
        <v>18</v>
      </c>
      <c r="B22" s="136">
        <f>Hold!A228</f>
        <v>29</v>
      </c>
      <c r="C22" s="137" t="str">
        <f>Hold!B228</f>
        <v>Malerne 2</v>
      </c>
      <c r="D22" s="138">
        <f>Hold!R234</f>
        <v>120.92592592592592</v>
      </c>
    </row>
    <row r="23" spans="1:4" ht="15.75" x14ac:dyDescent="0.25">
      <c r="A23" s="136">
        <v>19</v>
      </c>
      <c r="B23" s="136">
        <f>Hold!A196</f>
        <v>25</v>
      </c>
      <c r="C23" s="137" t="str">
        <f>Hold!B196</f>
        <v>JLF</v>
      </c>
      <c r="D23" s="138">
        <f>Hold!R202</f>
        <v>120.14285714285714</v>
      </c>
    </row>
    <row r="24" spans="1:4" ht="15.75" x14ac:dyDescent="0.25">
      <c r="A24" s="136">
        <v>20</v>
      </c>
      <c r="B24" s="136">
        <f>Hold!A244</f>
        <v>31</v>
      </c>
      <c r="C24" s="137" t="str">
        <f>Hold!B244</f>
        <v>El &amp; VVS 1</v>
      </c>
      <c r="D24" s="138">
        <f>Hold!R250</f>
        <v>116.28571428571429</v>
      </c>
    </row>
    <row r="25" spans="1:4" ht="15.75" x14ac:dyDescent="0.25">
      <c r="A25" s="136">
        <v>21</v>
      </c>
      <c r="B25" s="136">
        <f>Hold!A108</f>
        <v>14</v>
      </c>
      <c r="C25" s="137" t="str">
        <f>Hold!B108</f>
        <v>Nordbornholms Byggeforretning 2</v>
      </c>
      <c r="D25" s="138">
        <f>Hold!R114</f>
        <v>114.27777777777777</v>
      </c>
    </row>
    <row r="26" spans="1:4" ht="15.75" x14ac:dyDescent="0.25">
      <c r="A26" s="136">
        <v>22</v>
      </c>
      <c r="B26" s="136">
        <f>Hold!A124</f>
        <v>16</v>
      </c>
      <c r="C26" s="137" t="str">
        <f>Hold!B124</f>
        <v>Nordbornholms Byggeforretning 3</v>
      </c>
      <c r="D26" s="138">
        <f>Hold!R130</f>
        <v>110</v>
      </c>
    </row>
    <row r="27" spans="1:4" ht="15.75" x14ac:dyDescent="0.25">
      <c r="A27" s="136">
        <v>23</v>
      </c>
      <c r="B27" s="136">
        <f>Hold!A68</f>
        <v>9</v>
      </c>
      <c r="C27" s="137" t="str">
        <f>Hold!B68</f>
        <v>Jensen 2</v>
      </c>
      <c r="D27" s="138">
        <f>Hold!R74</f>
        <v>106.88888888888889</v>
      </c>
    </row>
    <row r="28" spans="1:4" ht="15.75" x14ac:dyDescent="0.25">
      <c r="A28" s="136">
        <v>24</v>
      </c>
      <c r="B28" s="136">
        <f>Hold!A212</f>
        <v>27</v>
      </c>
      <c r="C28" s="137" t="str">
        <f>Hold!B212</f>
        <v>BRK Team Tejn 2</v>
      </c>
      <c r="D28" s="138">
        <f>Hold!R218</f>
        <v>103.51785714285714</v>
      </c>
    </row>
    <row r="29" spans="1:4" ht="15.75" x14ac:dyDescent="0.25">
      <c r="A29" s="136">
        <v>25</v>
      </c>
      <c r="B29" s="136">
        <f>Hold!A236</f>
        <v>30</v>
      </c>
      <c r="C29" s="137" t="str">
        <f>Hold!B236</f>
        <v>Le Bowlers</v>
      </c>
      <c r="D29" s="138">
        <f>Hold!R242</f>
        <v>101.91071428571429</v>
      </c>
    </row>
    <row r="30" spans="1:4" ht="15.75" x14ac:dyDescent="0.25">
      <c r="A30" s="136">
        <v>26</v>
      </c>
      <c r="B30" s="136">
        <f>Hold!A156</f>
        <v>20</v>
      </c>
      <c r="C30" s="137" t="str">
        <f>Hold!B156</f>
        <v>BOH 9'erne</v>
      </c>
      <c r="D30" s="138">
        <f>Hold!R162</f>
        <v>101.42592592592592</v>
      </c>
    </row>
    <row r="31" spans="1:4" ht="15.75" x14ac:dyDescent="0.25">
      <c r="A31" s="136">
        <v>27</v>
      </c>
      <c r="B31" s="136">
        <f>Hold!A220</f>
        <v>28</v>
      </c>
      <c r="C31" s="137" t="str">
        <f>Hold!B220</f>
        <v>Malerne 1</v>
      </c>
      <c r="D31" s="138">
        <f>Hold!R226</f>
        <v>100.84090909090909</v>
      </c>
    </row>
    <row r="32" spans="1:4" ht="15.75" x14ac:dyDescent="0.25">
      <c r="A32" s="136">
        <v>28</v>
      </c>
      <c r="B32" s="136">
        <f>Hold!A188</f>
        <v>24</v>
      </c>
      <c r="C32" s="137" t="str">
        <f>Hold!B188</f>
        <v>Team TalBøwl</v>
      </c>
      <c r="D32" s="138">
        <f>Hold!R194</f>
        <v>99.020833333333329</v>
      </c>
    </row>
    <row r="33" spans="1:4" ht="15.75" x14ac:dyDescent="0.25">
      <c r="A33" s="136">
        <v>29</v>
      </c>
      <c r="B33" s="136">
        <f>Hold!A44</f>
        <v>6</v>
      </c>
      <c r="C33" s="137" t="str">
        <f>Hold!B44</f>
        <v>BolsterBjerg</v>
      </c>
      <c r="D33" s="138">
        <f>Hold!R50</f>
        <v>97.61904761904762</v>
      </c>
    </row>
    <row r="34" spans="1:4" ht="15.75" x14ac:dyDescent="0.25">
      <c r="A34" s="136">
        <v>30</v>
      </c>
      <c r="B34" s="136">
        <f>Hold!A148</f>
        <v>19</v>
      </c>
      <c r="C34" s="137" t="str">
        <f>Hold!B148</f>
        <v>Trimmerne</v>
      </c>
      <c r="D34" s="138">
        <f>Hold!R154</f>
        <v>92.583333333333329</v>
      </c>
    </row>
    <row r="35" spans="1:4" ht="15.75" x14ac:dyDescent="0.25">
      <c r="A35" s="136">
        <v>31</v>
      </c>
      <c r="B35" s="136">
        <f>Hold!A204</f>
        <v>26</v>
      </c>
      <c r="C35" s="137" t="str">
        <f>Hold!B204</f>
        <v>BRK Team Tejn 1</v>
      </c>
      <c r="D35" s="138">
        <f>Hold!R210</f>
        <v>81.089285714285708</v>
      </c>
    </row>
    <row r="36" spans="1:4" ht="15.75" x14ac:dyDescent="0.25">
      <c r="A36" s="136">
        <v>32</v>
      </c>
      <c r="B36" s="136">
        <f>Hold!A180</f>
        <v>23</v>
      </c>
      <c r="C36" s="137" t="str">
        <f>Hold!B180</f>
        <v>Bowlinghallen</v>
      </c>
      <c r="D36" s="138">
        <f>Hold!R186</f>
        <v>1</v>
      </c>
    </row>
    <row r="37" spans="1:4" ht="15.75" x14ac:dyDescent="0.25">
      <c r="A37" s="136">
        <v>33</v>
      </c>
      <c r="B37" s="136">
        <f>Hold!A260</f>
        <v>33</v>
      </c>
      <c r="C37" s="137" t="str">
        <f>Hold!B260</f>
        <v>Ukendt</v>
      </c>
      <c r="D37" s="138">
        <f>Hold!R266</f>
        <v>1</v>
      </c>
    </row>
    <row r="38" spans="1:4" ht="15.75" x14ac:dyDescent="0.25">
      <c r="A38" s="136">
        <v>34</v>
      </c>
      <c r="B38" s="136">
        <f>Hold!A268</f>
        <v>34</v>
      </c>
      <c r="C38" s="137" t="str">
        <f>Hold!B268</f>
        <v>Ukendt</v>
      </c>
      <c r="D38" s="138">
        <f>Hold!R274</f>
        <v>1</v>
      </c>
    </row>
    <row r="39" spans="1:4" ht="15.75" x14ac:dyDescent="0.25">
      <c r="A39" s="136">
        <v>35</v>
      </c>
      <c r="B39" s="136">
        <f>Hold!A276</f>
        <v>35</v>
      </c>
      <c r="C39" s="137" t="str">
        <f>Hold!B276</f>
        <v>Ukendt</v>
      </c>
      <c r="D39" s="138">
        <f>Hold!R282</f>
        <v>1</v>
      </c>
    </row>
  </sheetData>
  <sortState xmlns:xlrd2="http://schemas.microsoft.com/office/spreadsheetml/2017/richdata2" ref="B5:D35">
    <sortCondition descending="1" ref="D5:D35"/>
  </sortState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83"/>
  <sheetViews>
    <sheetView topLeftCell="A238" zoomScaleNormal="100" workbookViewId="0">
      <selection activeCell="V184" sqref="V184"/>
    </sheetView>
  </sheetViews>
  <sheetFormatPr defaultRowHeight="12.75" x14ac:dyDescent="0.2"/>
  <cols>
    <col min="1" max="1" width="3.5703125" style="2" customWidth="1"/>
    <col min="2" max="2" width="27.7109375" style="3" customWidth="1"/>
    <col min="3" max="9" width="5.7109375" customWidth="1"/>
    <col min="10" max="10" width="7.5703125" style="1" customWidth="1"/>
    <col min="11" max="15" width="5.7109375" style="40" customWidth="1"/>
    <col min="16" max="17" width="5.7109375" customWidth="1"/>
    <col min="18" max="18" width="7.5703125" style="1" customWidth="1"/>
    <col min="19" max="19" width="3" style="49" hidden="1" customWidth="1"/>
  </cols>
  <sheetData>
    <row r="1" spans="1:21" ht="30.75" customHeight="1" x14ac:dyDescent="0.4">
      <c r="A1" s="159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21" ht="13.5" thickBot="1" x14ac:dyDescent="0.25"/>
    <row r="3" spans="1:21" s="1" customFormat="1" ht="13.5" thickBot="1" x14ac:dyDescent="0.25">
      <c r="A3" s="2" t="s">
        <v>9</v>
      </c>
      <c r="B3" s="13" t="s">
        <v>0</v>
      </c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  <c r="J3" s="14" t="s">
        <v>1</v>
      </c>
      <c r="K3" s="64">
        <v>8</v>
      </c>
      <c r="L3" s="64">
        <v>9</v>
      </c>
      <c r="M3" s="64">
        <v>10</v>
      </c>
      <c r="N3" s="64">
        <v>11</v>
      </c>
      <c r="O3" s="64">
        <v>12</v>
      </c>
      <c r="P3" s="14">
        <v>13</v>
      </c>
      <c r="Q3" s="14"/>
      <c r="R3" s="15" t="s">
        <v>1</v>
      </c>
      <c r="S3" s="50"/>
    </row>
    <row r="4" spans="1:21" ht="13.5" thickBot="1" x14ac:dyDescent="0.25">
      <c r="A4" s="77">
        <v>1</v>
      </c>
      <c r="B4" s="105" t="s">
        <v>49</v>
      </c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/>
      <c r="R4" s="41"/>
    </row>
    <row r="5" spans="1:21" ht="15" x14ac:dyDescent="0.25">
      <c r="A5" s="78">
        <v>1</v>
      </c>
      <c r="B5" s="94" t="s">
        <v>14</v>
      </c>
      <c r="C5" s="72">
        <v>308</v>
      </c>
      <c r="D5" s="24">
        <f>82+118</f>
        <v>200</v>
      </c>
      <c r="E5" s="24">
        <f>176+188</f>
        <v>364</v>
      </c>
      <c r="F5" s="24">
        <f>149+125</f>
        <v>274</v>
      </c>
      <c r="G5" s="24">
        <f>176+168</f>
        <v>344</v>
      </c>
      <c r="H5" s="153">
        <v>248</v>
      </c>
      <c r="I5" s="71">
        <f>150+141</f>
        <v>291</v>
      </c>
      <c r="J5" s="27">
        <f>AVERAGE(C5:I5)/2</f>
        <v>144.92857142857142</v>
      </c>
      <c r="K5" s="65"/>
      <c r="L5" s="65"/>
      <c r="M5" s="65"/>
      <c r="N5" s="65"/>
      <c r="O5" s="65"/>
      <c r="P5" s="24"/>
      <c r="Q5" s="24"/>
      <c r="R5" s="27"/>
      <c r="S5" s="56">
        <f>COUNTIF(C5:I5,"&gt;1")</f>
        <v>7</v>
      </c>
      <c r="T5" s="11"/>
      <c r="U5" s="22"/>
    </row>
    <row r="6" spans="1:21" ht="15" x14ac:dyDescent="0.25">
      <c r="A6" s="78">
        <v>1</v>
      </c>
      <c r="B6" s="96" t="s">
        <v>25</v>
      </c>
      <c r="C6" s="23">
        <v>0</v>
      </c>
      <c r="D6" s="57"/>
      <c r="E6" s="57"/>
      <c r="F6" s="57"/>
      <c r="G6" s="57"/>
      <c r="H6" s="154"/>
      <c r="I6" s="42"/>
      <c r="J6" s="27">
        <f>AVERAGE(C6:I6)/2</f>
        <v>0</v>
      </c>
      <c r="K6" s="66"/>
      <c r="L6" s="66"/>
      <c r="M6" s="66"/>
      <c r="N6" s="66"/>
      <c r="O6" s="66"/>
      <c r="P6" s="7"/>
      <c r="Q6" s="7"/>
      <c r="R6" s="27"/>
      <c r="S6" s="61">
        <f>COUNTIF(C6:I6,"&gt;1")</f>
        <v>0</v>
      </c>
    </row>
    <row r="7" spans="1:21" ht="15" x14ac:dyDescent="0.25">
      <c r="A7" s="78">
        <v>1</v>
      </c>
      <c r="B7" s="96" t="s">
        <v>21</v>
      </c>
      <c r="C7" s="23">
        <v>278</v>
      </c>
      <c r="D7" s="57">
        <f>134+143</f>
        <v>277</v>
      </c>
      <c r="E7" s="57">
        <f>147+167</f>
        <v>314</v>
      </c>
      <c r="F7" s="57">
        <f>169+123</f>
        <v>292</v>
      </c>
      <c r="G7" s="57">
        <f>147+167</f>
        <v>314</v>
      </c>
      <c r="H7" s="154">
        <v>311</v>
      </c>
      <c r="I7" s="145">
        <f>157+146</f>
        <v>303</v>
      </c>
      <c r="J7" s="27">
        <f>AVERAGE(C7:I7)/2</f>
        <v>149.21428571428572</v>
      </c>
      <c r="K7" s="66"/>
      <c r="L7" s="66"/>
      <c r="M7" s="66"/>
      <c r="N7" s="66"/>
      <c r="O7" s="66"/>
      <c r="P7" s="7"/>
      <c r="Q7" s="7"/>
      <c r="R7" s="27"/>
      <c r="S7" s="61">
        <f>COUNTIF(C7:I7,"&gt;1")</f>
        <v>7</v>
      </c>
      <c r="U7" s="22"/>
    </row>
    <row r="8" spans="1:21" ht="15" x14ac:dyDescent="0.25">
      <c r="A8" s="78">
        <v>1</v>
      </c>
      <c r="B8" s="95"/>
      <c r="C8" s="23">
        <v>0</v>
      </c>
      <c r="D8" s="57"/>
      <c r="E8" s="57"/>
      <c r="F8" s="57"/>
      <c r="G8" s="57"/>
      <c r="H8" s="154"/>
      <c r="I8" s="42"/>
      <c r="J8" s="27">
        <v>0</v>
      </c>
      <c r="K8" s="66"/>
      <c r="L8" s="66"/>
      <c r="M8" s="66"/>
      <c r="N8" s="66"/>
      <c r="O8" s="66"/>
      <c r="P8" s="7"/>
      <c r="Q8" s="7"/>
      <c r="R8" s="27"/>
      <c r="S8" s="61">
        <f>COUNTIF(C8:I8,"&gt;1")</f>
        <v>0</v>
      </c>
    </row>
    <row r="9" spans="1:21" ht="15.75" thickBot="1" x14ac:dyDescent="0.3">
      <c r="A9" s="79">
        <v>1</v>
      </c>
      <c r="B9" s="112" t="s">
        <v>63</v>
      </c>
      <c r="C9" s="70">
        <v>325</v>
      </c>
      <c r="D9" s="12">
        <f>136+159</f>
        <v>295</v>
      </c>
      <c r="E9" s="12">
        <f>136+160</f>
        <v>296</v>
      </c>
      <c r="F9" s="12">
        <f>119+125</f>
        <v>244</v>
      </c>
      <c r="G9" s="12">
        <f>160+136</f>
        <v>296</v>
      </c>
      <c r="H9" s="155">
        <v>320</v>
      </c>
      <c r="I9" s="43">
        <f>158+199</f>
        <v>357</v>
      </c>
      <c r="J9" s="27">
        <f>AVERAGE(C9:I9)/2</f>
        <v>152.35714285714286</v>
      </c>
      <c r="K9" s="66"/>
      <c r="L9" s="66"/>
      <c r="M9" s="66"/>
      <c r="N9" s="66"/>
      <c r="O9" s="66"/>
      <c r="P9" s="7"/>
      <c r="Q9" s="7"/>
      <c r="R9" s="27"/>
      <c r="S9" s="61">
        <f>COUNTIF(C9:I9,"&gt;1")</f>
        <v>7</v>
      </c>
    </row>
    <row r="10" spans="1:21" ht="12.75" customHeight="1" x14ac:dyDescent="0.2">
      <c r="A10" s="5"/>
      <c r="B10" s="8"/>
      <c r="C10" s="17"/>
      <c r="D10" s="17"/>
      <c r="E10" s="17"/>
      <c r="F10" s="17"/>
      <c r="G10" s="17"/>
      <c r="H10" s="17"/>
      <c r="I10" s="17"/>
      <c r="J10" s="22"/>
      <c r="K10" s="67"/>
      <c r="L10" s="67"/>
      <c r="M10" s="67"/>
      <c r="N10" s="67"/>
      <c r="O10" s="67"/>
      <c r="P10" s="17"/>
      <c r="Q10" s="17"/>
      <c r="R10" s="60">
        <f>SUM(C5:I9)/(S10*2)</f>
        <v>148.83333333333334</v>
      </c>
      <c r="S10" s="49">
        <f>SUM(S5:S9)</f>
        <v>21</v>
      </c>
      <c r="T10" s="22"/>
    </row>
    <row r="11" spans="1:21" ht="13.5" thickBot="1" x14ac:dyDescent="0.25">
      <c r="A11" s="5"/>
      <c r="B11" s="8"/>
      <c r="C11" s="17"/>
      <c r="D11" s="6"/>
      <c r="E11" s="6"/>
      <c r="F11" s="6"/>
      <c r="G11" s="6"/>
      <c r="H11" s="6"/>
      <c r="I11" s="6"/>
      <c r="J11" s="21"/>
      <c r="K11" s="68"/>
      <c r="L11" s="68"/>
      <c r="M11" s="68"/>
      <c r="N11" s="68"/>
      <c r="O11" s="68"/>
      <c r="P11" s="6"/>
      <c r="Q11" s="6"/>
      <c r="R11" s="4"/>
    </row>
    <row r="12" spans="1:21" ht="13.5" thickBot="1" x14ac:dyDescent="0.25">
      <c r="A12" s="77">
        <v>2</v>
      </c>
      <c r="B12" s="105" t="s">
        <v>138</v>
      </c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5"/>
      <c r="R12" s="26"/>
    </row>
    <row r="13" spans="1:21" ht="15" x14ac:dyDescent="0.25">
      <c r="A13" s="78">
        <v>2</v>
      </c>
      <c r="B13" s="129" t="s">
        <v>21</v>
      </c>
      <c r="C13" s="72">
        <f>171+146</f>
        <v>317</v>
      </c>
      <c r="D13" s="24">
        <f>191+156</f>
        <v>347</v>
      </c>
      <c r="E13" s="24">
        <f>155+157</f>
        <v>312</v>
      </c>
      <c r="F13" s="24">
        <f>148+189</f>
        <v>337</v>
      </c>
      <c r="G13" s="24">
        <f>180+223</f>
        <v>403</v>
      </c>
      <c r="H13" s="153">
        <f>135+158</f>
        <v>293</v>
      </c>
      <c r="I13" s="71"/>
      <c r="J13" s="27">
        <f>AVERAGE(C13:I13)/2</f>
        <v>167.41666666666666</v>
      </c>
      <c r="K13" s="65"/>
      <c r="L13" s="65"/>
      <c r="M13" s="65"/>
      <c r="N13" s="65"/>
      <c r="O13" s="65"/>
      <c r="P13" s="24"/>
      <c r="Q13" s="24"/>
      <c r="R13" s="27"/>
      <c r="S13" s="61">
        <f>COUNTIF(C13:I13,"&gt;1")</f>
        <v>6</v>
      </c>
    </row>
    <row r="14" spans="1:21" ht="15" x14ac:dyDescent="0.25">
      <c r="A14" s="78">
        <v>2</v>
      </c>
      <c r="B14" s="130" t="s">
        <v>55</v>
      </c>
      <c r="C14" s="23">
        <f>158+200</f>
        <v>358</v>
      </c>
      <c r="D14" s="57">
        <f>144+149</f>
        <v>293</v>
      </c>
      <c r="E14" s="57">
        <f>184+134</f>
        <v>318</v>
      </c>
      <c r="F14" s="57">
        <f>175+154</f>
        <v>329</v>
      </c>
      <c r="G14" s="57">
        <f>166+178</f>
        <v>344</v>
      </c>
      <c r="H14" s="154">
        <f>153+152</f>
        <v>305</v>
      </c>
      <c r="I14" s="42"/>
      <c r="J14" s="27">
        <f>AVERAGE(C14:I14)/2</f>
        <v>162.25</v>
      </c>
      <c r="K14" s="66"/>
      <c r="L14" s="66"/>
      <c r="M14" s="66"/>
      <c r="N14" s="66"/>
      <c r="O14" s="66"/>
      <c r="P14" s="57"/>
      <c r="Q14" s="57"/>
      <c r="R14" s="27"/>
      <c r="S14" s="61">
        <f>COUNTIF(C14:I14,"&gt;1")</f>
        <v>6</v>
      </c>
    </row>
    <row r="15" spans="1:21" ht="15" x14ac:dyDescent="0.25">
      <c r="A15" s="78">
        <v>2</v>
      </c>
      <c r="B15" s="130" t="s">
        <v>61</v>
      </c>
      <c r="C15" s="23">
        <f>115+128</f>
        <v>243</v>
      </c>
      <c r="D15" s="57">
        <f>192+145</f>
        <v>337</v>
      </c>
      <c r="E15" s="57">
        <f>161+114</f>
        <v>275</v>
      </c>
      <c r="F15" s="57">
        <f>174+156</f>
        <v>330</v>
      </c>
      <c r="G15" s="57">
        <f>135+132</f>
        <v>267</v>
      </c>
      <c r="H15" s="154">
        <f>134+147</f>
        <v>281</v>
      </c>
      <c r="I15" s="42"/>
      <c r="J15" s="27">
        <f>AVERAGE(C15:I15)/2</f>
        <v>144.41666666666666</v>
      </c>
      <c r="K15" s="66"/>
      <c r="L15" s="66"/>
      <c r="M15" s="66"/>
      <c r="N15" s="66"/>
      <c r="O15" s="66"/>
      <c r="P15" s="57"/>
      <c r="Q15" s="57"/>
      <c r="R15" s="27"/>
      <c r="S15" s="61">
        <f>COUNTIF(C15:I15,"&gt;1")</f>
        <v>6</v>
      </c>
      <c r="U15" s="22"/>
    </row>
    <row r="16" spans="1:21" ht="15" x14ac:dyDescent="0.25">
      <c r="A16" s="78">
        <v>2</v>
      </c>
      <c r="B16" s="121"/>
      <c r="C16" s="23">
        <v>0</v>
      </c>
      <c r="D16" s="57"/>
      <c r="E16" s="57"/>
      <c r="F16" s="57"/>
      <c r="G16" s="57"/>
      <c r="H16" s="154"/>
      <c r="I16" s="42"/>
      <c r="J16" s="27">
        <f>AVERAGE(C16:I16)/2</f>
        <v>0</v>
      </c>
      <c r="K16" s="66"/>
      <c r="L16" s="66"/>
      <c r="M16" s="66"/>
      <c r="N16" s="66"/>
      <c r="O16" s="66"/>
      <c r="P16" s="57"/>
      <c r="Q16" s="57"/>
      <c r="R16" s="27"/>
      <c r="S16" s="61">
        <f>COUNTIF(C16:I16,"&gt;1")</f>
        <v>0</v>
      </c>
    </row>
    <row r="17" spans="1:21" ht="15.75" thickBot="1" x14ac:dyDescent="0.3">
      <c r="A17" s="79">
        <v>2</v>
      </c>
      <c r="B17" s="85"/>
      <c r="C17" s="70">
        <v>0</v>
      </c>
      <c r="D17" s="12"/>
      <c r="E17" s="12"/>
      <c r="F17" s="12"/>
      <c r="G17" s="12"/>
      <c r="H17" s="155"/>
      <c r="I17" s="43"/>
      <c r="J17" s="27">
        <f>AVERAGE(C17:I17)/2</f>
        <v>0</v>
      </c>
      <c r="K17" s="66"/>
      <c r="L17" s="66"/>
      <c r="M17" s="66"/>
      <c r="N17" s="66"/>
      <c r="O17" s="66"/>
      <c r="P17" s="57"/>
      <c r="Q17" s="57"/>
      <c r="R17" s="27"/>
      <c r="S17" s="61">
        <f>COUNTIF(C17:I17,"&gt;1")</f>
        <v>0</v>
      </c>
    </row>
    <row r="18" spans="1:21" x14ac:dyDescent="0.2">
      <c r="A18" s="5"/>
      <c r="B18" s="8"/>
      <c r="C18" s="17"/>
      <c r="D18" s="17"/>
      <c r="E18" s="17"/>
      <c r="F18" s="17"/>
      <c r="G18" s="17"/>
      <c r="H18" s="17"/>
      <c r="I18" s="17"/>
      <c r="J18" s="60"/>
      <c r="K18" s="67"/>
      <c r="L18" s="67"/>
      <c r="M18" s="67"/>
      <c r="N18" s="67"/>
      <c r="O18" s="67"/>
      <c r="P18" s="17"/>
      <c r="Q18" s="17"/>
      <c r="R18" s="60">
        <f>SUM(C13:I17)/(S18*2)</f>
        <v>158.02777777777777</v>
      </c>
      <c r="S18" s="61">
        <f>SUM(S13:S17)</f>
        <v>18</v>
      </c>
    </row>
    <row r="19" spans="1:21" ht="13.5" thickBot="1" x14ac:dyDescent="0.25">
      <c r="A19" s="5"/>
      <c r="B19" s="8"/>
      <c r="C19" s="17"/>
      <c r="D19" s="6"/>
      <c r="E19" s="6"/>
      <c r="F19" s="6"/>
      <c r="G19" s="6"/>
      <c r="H19" s="6"/>
      <c r="I19" s="6"/>
      <c r="J19" s="4"/>
      <c r="K19" s="68"/>
      <c r="L19" s="68"/>
      <c r="M19" s="68"/>
      <c r="N19" s="68"/>
      <c r="O19" s="68"/>
      <c r="P19" s="6"/>
      <c r="Q19" s="6"/>
      <c r="R19" s="4"/>
      <c r="T19" s="6"/>
      <c r="U19" s="6"/>
    </row>
    <row r="20" spans="1:21" ht="13.5" thickBot="1" x14ac:dyDescent="0.25">
      <c r="A20" s="77">
        <v>3</v>
      </c>
      <c r="B20" s="105" t="s">
        <v>26</v>
      </c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25"/>
      <c r="T20" s="6"/>
      <c r="U20" s="6"/>
    </row>
    <row r="21" spans="1:21" ht="15" x14ac:dyDescent="0.25">
      <c r="A21" s="78">
        <v>3</v>
      </c>
      <c r="B21" s="91" t="s">
        <v>23</v>
      </c>
      <c r="C21" s="72">
        <f>114+164</f>
        <v>278</v>
      </c>
      <c r="D21" s="24">
        <f>154+99</f>
        <v>253</v>
      </c>
      <c r="E21" s="24">
        <f>115+126</f>
        <v>241</v>
      </c>
      <c r="F21" s="24">
        <f>122+124</f>
        <v>246</v>
      </c>
      <c r="G21" s="24">
        <f>129+123</f>
        <v>252</v>
      </c>
      <c r="H21" s="153">
        <f>127+98</f>
        <v>225</v>
      </c>
      <c r="I21" s="71">
        <f>145+106</f>
        <v>251</v>
      </c>
      <c r="J21" s="27">
        <f>AVERAGE(C21:I21)/2</f>
        <v>124.71428571428571</v>
      </c>
      <c r="K21" s="65"/>
      <c r="L21" s="65"/>
      <c r="M21" s="65"/>
      <c r="N21" s="65"/>
      <c r="O21" s="65"/>
      <c r="P21" s="24"/>
      <c r="Q21" s="24"/>
      <c r="R21" s="27"/>
      <c r="S21" s="61">
        <f>COUNTIF(C21:I21,"&gt;1")</f>
        <v>7</v>
      </c>
      <c r="T21" s="6"/>
      <c r="U21" s="6"/>
    </row>
    <row r="22" spans="1:21" ht="15" x14ac:dyDescent="0.25">
      <c r="A22" s="78">
        <v>3</v>
      </c>
      <c r="B22" s="89" t="s">
        <v>10</v>
      </c>
      <c r="C22" s="23">
        <f>98+96</f>
        <v>194</v>
      </c>
      <c r="D22" s="57">
        <f>103+123</f>
        <v>226</v>
      </c>
      <c r="E22" s="57">
        <f>109+129</f>
        <v>238</v>
      </c>
      <c r="F22" s="57">
        <f>110+116</f>
        <v>226</v>
      </c>
      <c r="G22" s="57">
        <f>105+122</f>
        <v>227</v>
      </c>
      <c r="H22" s="154">
        <f>133+116</f>
        <v>249</v>
      </c>
      <c r="I22" s="42">
        <f>92+114</f>
        <v>206</v>
      </c>
      <c r="J22" s="27">
        <f>AVERAGE(C22:I22)/2</f>
        <v>111.85714285714286</v>
      </c>
      <c r="K22" s="66"/>
      <c r="L22" s="66"/>
      <c r="M22" s="66"/>
      <c r="N22" s="66"/>
      <c r="O22" s="66"/>
      <c r="P22" s="57"/>
      <c r="Q22" s="57"/>
      <c r="R22" s="27"/>
      <c r="S22" s="61">
        <f>COUNTIF(C22:I22,"&gt;1")</f>
        <v>7</v>
      </c>
      <c r="T22" s="6"/>
      <c r="U22" s="6"/>
    </row>
    <row r="23" spans="1:21" ht="15" x14ac:dyDescent="0.25">
      <c r="A23" s="78">
        <v>3</v>
      </c>
      <c r="B23" s="123" t="s">
        <v>75</v>
      </c>
      <c r="C23" s="131">
        <v>340</v>
      </c>
      <c r="D23" s="57">
        <f>193+151</f>
        <v>344</v>
      </c>
      <c r="E23" s="57">
        <f>152+170</f>
        <v>322</v>
      </c>
      <c r="F23" s="57">
        <f>175+173</f>
        <v>348</v>
      </c>
      <c r="G23" s="57">
        <f>202+158</f>
        <v>360</v>
      </c>
      <c r="H23" s="154">
        <f>152+167</f>
        <v>319</v>
      </c>
      <c r="I23" s="42">
        <f>186+201</f>
        <v>387</v>
      </c>
      <c r="J23" s="27">
        <f>AVERAGE(C23:I23)/2</f>
        <v>172.85714285714286</v>
      </c>
      <c r="K23" s="66"/>
      <c r="L23" s="66"/>
      <c r="M23" s="66"/>
      <c r="N23" s="66"/>
      <c r="O23" s="66"/>
      <c r="P23" s="57"/>
      <c r="Q23" s="57"/>
      <c r="R23" s="27"/>
      <c r="S23" s="61">
        <f>COUNTIF(C23:I23,"&gt;1")</f>
        <v>7</v>
      </c>
      <c r="T23" s="6"/>
      <c r="U23" s="6"/>
    </row>
    <row r="24" spans="1:21" ht="15" x14ac:dyDescent="0.25">
      <c r="A24" s="78">
        <v>3</v>
      </c>
      <c r="B24" s="108"/>
      <c r="C24" s="23">
        <v>0</v>
      </c>
      <c r="D24" s="57"/>
      <c r="E24" s="57"/>
      <c r="F24" s="57"/>
      <c r="G24" s="57"/>
      <c r="H24" s="154"/>
      <c r="I24" s="42"/>
      <c r="J24" s="27">
        <f>AVERAGE(C24:I24)/2</f>
        <v>0</v>
      </c>
      <c r="K24" s="66"/>
      <c r="L24" s="66"/>
      <c r="M24" s="66"/>
      <c r="N24" s="66"/>
      <c r="O24" s="66"/>
      <c r="P24" s="57"/>
      <c r="Q24" s="57"/>
      <c r="R24" s="27"/>
      <c r="S24" s="61">
        <f>COUNTIF(C24:I24,"&gt;1")</f>
        <v>0</v>
      </c>
      <c r="T24" s="6"/>
      <c r="U24" s="5"/>
    </row>
    <row r="25" spans="1:21" ht="15.75" thickBot="1" x14ac:dyDescent="0.3">
      <c r="A25" s="79">
        <v>3</v>
      </c>
      <c r="B25" s="112"/>
      <c r="C25" s="70">
        <v>0</v>
      </c>
      <c r="D25" s="12"/>
      <c r="E25" s="12"/>
      <c r="F25" s="12"/>
      <c r="G25" s="12"/>
      <c r="H25" s="155"/>
      <c r="I25" s="43"/>
      <c r="J25" s="27">
        <f>AVERAGE(C25:I25)/2</f>
        <v>0</v>
      </c>
      <c r="K25" s="66"/>
      <c r="L25" s="66"/>
      <c r="M25" s="66"/>
      <c r="N25" s="66"/>
      <c r="O25" s="66"/>
      <c r="P25" s="57"/>
      <c r="Q25" s="57"/>
      <c r="R25" s="27"/>
      <c r="S25" s="61">
        <f>COUNTIF(C25:I25,"&gt;1")</f>
        <v>0</v>
      </c>
      <c r="T25" s="6"/>
      <c r="U25" s="5"/>
    </row>
    <row r="26" spans="1:21" x14ac:dyDescent="0.2">
      <c r="A26" s="5"/>
      <c r="B26" s="8"/>
      <c r="C26" s="17"/>
      <c r="D26" s="17"/>
      <c r="E26" s="17"/>
      <c r="F26" s="17"/>
      <c r="G26" s="17"/>
      <c r="H26" s="17"/>
      <c r="I26" s="17"/>
      <c r="J26" s="60"/>
      <c r="K26" s="67"/>
      <c r="L26" s="67"/>
      <c r="M26" s="67"/>
      <c r="N26" s="67"/>
      <c r="O26" s="67"/>
      <c r="P26" s="17"/>
      <c r="Q26" s="17"/>
      <c r="R26" s="60">
        <f>SUM(C21:I25)/(S26*2)</f>
        <v>136.47619047619048</v>
      </c>
      <c r="S26" s="61">
        <f>SUM(S21:S25)</f>
        <v>21</v>
      </c>
      <c r="T26" s="6"/>
      <c r="U26" s="5"/>
    </row>
    <row r="27" spans="1:21" ht="13.5" thickBot="1" x14ac:dyDescent="0.25">
      <c r="A27" s="5"/>
      <c r="B27" s="8"/>
      <c r="C27" s="17"/>
      <c r="D27" s="6"/>
      <c r="E27" s="6"/>
      <c r="F27" s="6"/>
      <c r="G27" s="6"/>
      <c r="H27" s="6"/>
      <c r="I27" s="6"/>
      <c r="J27" s="4"/>
      <c r="K27" s="68"/>
      <c r="L27" s="68"/>
      <c r="M27" s="68"/>
      <c r="N27" s="68"/>
      <c r="O27" s="68"/>
      <c r="P27" s="6"/>
      <c r="Q27" s="6"/>
      <c r="R27" s="4"/>
      <c r="T27" s="6"/>
      <c r="U27" s="5"/>
    </row>
    <row r="28" spans="1:21" ht="13.5" thickBot="1" x14ac:dyDescent="0.25">
      <c r="A28" s="77">
        <f>A20+1</f>
        <v>4</v>
      </c>
      <c r="B28" s="105" t="s">
        <v>64</v>
      </c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25"/>
      <c r="T28" s="6"/>
      <c r="U28" s="5"/>
    </row>
    <row r="29" spans="1:21" ht="15" x14ac:dyDescent="0.25">
      <c r="A29" s="78">
        <f>A21+1</f>
        <v>4</v>
      </c>
      <c r="B29" s="129" t="s">
        <v>90</v>
      </c>
      <c r="C29" s="72">
        <f>94+84</f>
        <v>178</v>
      </c>
      <c r="D29" s="24">
        <f>144+141</f>
        <v>285</v>
      </c>
      <c r="E29" s="24"/>
      <c r="F29" s="24"/>
      <c r="G29" s="24"/>
      <c r="H29" s="153"/>
      <c r="I29" s="71"/>
      <c r="J29" s="27">
        <f>AVERAGE(C29:I29)/2</f>
        <v>115.75</v>
      </c>
      <c r="K29" s="65"/>
      <c r="L29" s="65"/>
      <c r="M29" s="65"/>
      <c r="N29" s="65"/>
      <c r="O29" s="65"/>
      <c r="P29" s="24"/>
      <c r="Q29" s="24"/>
      <c r="R29" s="27"/>
      <c r="S29" s="61">
        <f>COUNTIF(C29:I29,"&gt;1")</f>
        <v>2</v>
      </c>
      <c r="T29" s="6"/>
      <c r="U29" s="63"/>
    </row>
    <row r="30" spans="1:21" ht="15" x14ac:dyDescent="0.25">
      <c r="A30" s="78">
        <f>A23+1</f>
        <v>4</v>
      </c>
      <c r="B30" s="130" t="s">
        <v>13</v>
      </c>
      <c r="C30" s="23">
        <f>133+121</f>
        <v>254</v>
      </c>
      <c r="D30" s="57">
        <f>126+108</f>
        <v>234</v>
      </c>
      <c r="E30" s="57">
        <f>104+137</f>
        <v>241</v>
      </c>
      <c r="F30" s="57">
        <f>135+129</f>
        <v>264</v>
      </c>
      <c r="G30" s="57">
        <f>114+139</f>
        <v>253</v>
      </c>
      <c r="H30" s="154">
        <f>145+93</f>
        <v>238</v>
      </c>
      <c r="I30" s="42"/>
      <c r="J30" s="27">
        <f>AVERAGE(C30:I30)/2</f>
        <v>123.66666666666667</v>
      </c>
      <c r="K30" s="66"/>
      <c r="L30" s="66"/>
      <c r="M30" s="66"/>
      <c r="N30" s="66"/>
      <c r="O30" s="66"/>
      <c r="P30" s="57"/>
      <c r="Q30" s="57"/>
      <c r="R30" s="27"/>
      <c r="S30" s="61">
        <f>COUNTIF(C30:I30,"&gt;1")</f>
        <v>6</v>
      </c>
      <c r="T30" s="6"/>
      <c r="U30" s="63"/>
    </row>
    <row r="31" spans="1:21" ht="15" x14ac:dyDescent="0.25">
      <c r="A31" s="78">
        <f>A24+1</f>
        <v>4</v>
      </c>
      <c r="B31" s="130" t="s">
        <v>30</v>
      </c>
      <c r="C31" s="23">
        <f>135+116</f>
        <v>251</v>
      </c>
      <c r="D31" s="57">
        <f>122+104</f>
        <v>226</v>
      </c>
      <c r="E31" s="57">
        <f>137+139</f>
        <v>276</v>
      </c>
      <c r="F31" s="57">
        <f>127+140</f>
        <v>267</v>
      </c>
      <c r="G31" s="57">
        <f>108+130</f>
        <v>238</v>
      </c>
      <c r="H31" s="154">
        <f>100+124</f>
        <v>224</v>
      </c>
      <c r="I31" s="42"/>
      <c r="J31" s="27">
        <f>AVERAGE(C31:I31)/2</f>
        <v>123.5</v>
      </c>
      <c r="K31" s="66"/>
      <c r="L31" s="66"/>
      <c r="M31" s="66"/>
      <c r="N31" s="66"/>
      <c r="O31" s="66"/>
      <c r="P31" s="57"/>
      <c r="Q31" s="57"/>
      <c r="R31" s="27"/>
      <c r="S31" s="61">
        <f>COUNTIF(C31:I31,"&gt;1")</f>
        <v>6</v>
      </c>
      <c r="T31" s="6"/>
      <c r="U31" s="6"/>
    </row>
    <row r="32" spans="1:21" ht="15" x14ac:dyDescent="0.25">
      <c r="A32" s="78">
        <f>A25+1</f>
        <v>4</v>
      </c>
      <c r="B32" s="106" t="s">
        <v>146</v>
      </c>
      <c r="C32" s="23"/>
      <c r="D32" s="57"/>
      <c r="E32" s="57">
        <f>150+134</f>
        <v>284</v>
      </c>
      <c r="F32" s="57">
        <f>188+112</f>
        <v>300</v>
      </c>
      <c r="G32" s="57">
        <f>119+112</f>
        <v>231</v>
      </c>
      <c r="H32" s="154">
        <f>147+146</f>
        <v>293</v>
      </c>
      <c r="I32" s="42"/>
      <c r="J32" s="27">
        <f>AVERAGE(C32:I32)/2</f>
        <v>138.5</v>
      </c>
      <c r="K32" s="66"/>
      <c r="L32" s="66"/>
      <c r="M32" s="66"/>
      <c r="N32" s="66"/>
      <c r="O32" s="66"/>
      <c r="P32" s="57"/>
      <c r="Q32" s="57"/>
      <c r="R32" s="27"/>
      <c r="S32" s="61">
        <f>COUNTIF(C32:I32,"&gt;1")</f>
        <v>4</v>
      </c>
      <c r="T32" s="6"/>
      <c r="U32" s="6"/>
    </row>
    <row r="33" spans="1:21" ht="15.75" thickBot="1" x14ac:dyDescent="0.3">
      <c r="A33" s="79">
        <v>4</v>
      </c>
      <c r="B33" s="124"/>
      <c r="C33" s="70">
        <v>0</v>
      </c>
      <c r="D33" s="12"/>
      <c r="E33" s="12"/>
      <c r="F33" s="12"/>
      <c r="G33" s="12"/>
      <c r="H33" s="155"/>
      <c r="I33" s="43"/>
      <c r="J33" s="27">
        <f>AVERAGE(C33:I33)/2</f>
        <v>0</v>
      </c>
      <c r="K33" s="66"/>
      <c r="L33" s="66"/>
      <c r="M33" s="66"/>
      <c r="N33" s="66"/>
      <c r="O33" s="66"/>
      <c r="P33" s="57"/>
      <c r="Q33" s="57"/>
      <c r="R33" s="27"/>
      <c r="S33" s="61">
        <f>COUNTIF(C33:I33,"&gt;1")</f>
        <v>0</v>
      </c>
      <c r="T33" s="6"/>
      <c r="U33" s="6"/>
    </row>
    <row r="34" spans="1:21" x14ac:dyDescent="0.2">
      <c r="A34" s="5"/>
      <c r="B34" s="6"/>
      <c r="C34" s="17"/>
      <c r="D34" s="17"/>
      <c r="E34" s="17"/>
      <c r="F34" s="17"/>
      <c r="G34" s="17"/>
      <c r="H34" s="17"/>
      <c r="I34" s="17"/>
      <c r="J34" s="60"/>
      <c r="K34" s="67"/>
      <c r="L34" s="67"/>
      <c r="M34" s="67"/>
      <c r="N34" s="67"/>
      <c r="O34" s="67"/>
      <c r="P34" s="17"/>
      <c r="Q34" s="17"/>
      <c r="R34" s="60">
        <f>SUM(C29:I33)/(S34*2)</f>
        <v>126.02777777777777</v>
      </c>
      <c r="S34" s="61">
        <f>SUM(S29:S33)</f>
        <v>18</v>
      </c>
      <c r="T34" s="6"/>
      <c r="U34" s="6"/>
    </row>
    <row r="35" spans="1:21" ht="13.5" thickBot="1" x14ac:dyDescent="0.25">
      <c r="A35" s="5"/>
      <c r="B35" s="6"/>
      <c r="C35" s="17"/>
      <c r="D35" s="6"/>
      <c r="E35" s="6"/>
      <c r="F35" s="6"/>
      <c r="G35" s="6"/>
      <c r="H35" s="6"/>
      <c r="I35" s="6"/>
      <c r="J35" s="4"/>
      <c r="K35" s="68"/>
      <c r="L35" s="68"/>
      <c r="M35" s="68"/>
      <c r="N35" s="68"/>
      <c r="O35" s="68"/>
      <c r="P35" s="6"/>
      <c r="Q35" s="6"/>
      <c r="R35" s="4"/>
      <c r="T35" s="6"/>
      <c r="U35" s="6"/>
    </row>
    <row r="36" spans="1:21" ht="13.5" thickBot="1" x14ac:dyDescent="0.25">
      <c r="A36" s="77">
        <v>5</v>
      </c>
      <c r="B36" s="105" t="s">
        <v>65</v>
      </c>
      <c r="C36" s="7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5"/>
      <c r="R36" s="25"/>
      <c r="T36" s="6"/>
      <c r="U36" s="6"/>
    </row>
    <row r="37" spans="1:21" ht="15" x14ac:dyDescent="0.25">
      <c r="A37" s="78">
        <v>5</v>
      </c>
      <c r="B37" s="129" t="s">
        <v>76</v>
      </c>
      <c r="C37" s="80">
        <f>121+116</f>
        <v>237</v>
      </c>
      <c r="D37" s="24">
        <f>116+110</f>
        <v>226</v>
      </c>
      <c r="E37" s="24">
        <f>139+128</f>
        <v>267</v>
      </c>
      <c r="F37" s="24">
        <f>128+157</f>
        <v>285</v>
      </c>
      <c r="G37" s="24">
        <f>123+124</f>
        <v>247</v>
      </c>
      <c r="H37" s="153">
        <f>168+118</f>
        <v>286</v>
      </c>
      <c r="I37" s="71"/>
      <c r="J37" s="27">
        <f>AVERAGE(C37:I37)/2</f>
        <v>129</v>
      </c>
      <c r="K37" s="65"/>
      <c r="L37" s="65"/>
      <c r="M37" s="65"/>
      <c r="N37" s="65"/>
      <c r="O37" s="65"/>
      <c r="P37" s="24"/>
      <c r="Q37" s="24"/>
      <c r="R37" s="27"/>
      <c r="S37" s="61">
        <f>COUNTIF(C37:I37,"&gt;1")</f>
        <v>6</v>
      </c>
      <c r="T37" s="6"/>
      <c r="U37" s="8"/>
    </row>
    <row r="38" spans="1:21" ht="15" x14ac:dyDescent="0.25">
      <c r="A38" s="78">
        <v>5</v>
      </c>
      <c r="B38" s="130" t="s">
        <v>24</v>
      </c>
      <c r="C38" s="81">
        <f>130+167</f>
        <v>297</v>
      </c>
      <c r="D38" s="57">
        <f>130+129</f>
        <v>259</v>
      </c>
      <c r="E38" s="57">
        <f>90+121</f>
        <v>211</v>
      </c>
      <c r="F38" s="57">
        <f>141+180</f>
        <v>321</v>
      </c>
      <c r="G38" s="57">
        <f>114+116</f>
        <v>230</v>
      </c>
      <c r="H38" s="154">
        <f>131+130</f>
        <v>261</v>
      </c>
      <c r="I38" s="42"/>
      <c r="J38" s="27">
        <f>AVERAGE(C38:I38)/2</f>
        <v>131.58333333333334</v>
      </c>
      <c r="K38" s="66"/>
      <c r="L38" s="66"/>
      <c r="M38" s="66"/>
      <c r="N38" s="66"/>
      <c r="O38" s="66"/>
      <c r="P38" s="57"/>
      <c r="Q38" s="57"/>
      <c r="R38" s="27"/>
      <c r="S38" s="61">
        <f>COUNTIF(C38:I38,"&gt;1")</f>
        <v>6</v>
      </c>
      <c r="T38" s="6"/>
      <c r="U38" s="6"/>
    </row>
    <row r="39" spans="1:21" ht="15" x14ac:dyDescent="0.25">
      <c r="A39" s="78">
        <v>5</v>
      </c>
      <c r="B39" s="130" t="s">
        <v>66</v>
      </c>
      <c r="C39" s="81">
        <f>130+139</f>
        <v>269</v>
      </c>
      <c r="D39" s="57">
        <f>121+101</f>
        <v>222</v>
      </c>
      <c r="E39" s="57">
        <f>131+160</f>
        <v>291</v>
      </c>
      <c r="F39" s="57">
        <f>152+131</f>
        <v>283</v>
      </c>
      <c r="G39" s="57">
        <f>93+133</f>
        <v>226</v>
      </c>
      <c r="H39" s="154">
        <f>117+134</f>
        <v>251</v>
      </c>
      <c r="I39" s="42"/>
      <c r="J39" s="27">
        <f>AVERAGE(C39:I39)/2</f>
        <v>128.5</v>
      </c>
      <c r="K39" s="66"/>
      <c r="L39" s="66"/>
      <c r="M39" s="66"/>
      <c r="N39" s="66"/>
      <c r="O39" s="66"/>
      <c r="P39" s="57"/>
      <c r="Q39" s="57"/>
      <c r="R39" s="27"/>
      <c r="S39" s="61">
        <f>COUNTIF(C39:I39,"&gt;1")</f>
        <v>6</v>
      </c>
    </row>
    <row r="40" spans="1:21" ht="15" x14ac:dyDescent="0.25">
      <c r="A40" s="78">
        <v>5</v>
      </c>
      <c r="B40" s="125"/>
      <c r="C40" s="81">
        <v>0</v>
      </c>
      <c r="D40" s="57"/>
      <c r="E40" s="57"/>
      <c r="F40" s="57"/>
      <c r="G40" s="57"/>
      <c r="H40" s="154"/>
      <c r="I40" s="42"/>
      <c r="J40" s="27">
        <f>AVERAGE(C40:I40)/2</f>
        <v>0</v>
      </c>
      <c r="K40" s="66"/>
      <c r="L40" s="66"/>
      <c r="M40" s="66"/>
      <c r="N40" s="66"/>
      <c r="O40" s="66"/>
      <c r="P40" s="57"/>
      <c r="Q40" s="57"/>
      <c r="R40" s="27"/>
      <c r="S40" s="61">
        <f>COUNTIF(C40:I40,"&gt;1")</f>
        <v>0</v>
      </c>
    </row>
    <row r="41" spans="1:21" ht="15.75" thickBot="1" x14ac:dyDescent="0.3">
      <c r="A41" s="79">
        <v>5</v>
      </c>
      <c r="B41" s="124"/>
      <c r="C41" s="82">
        <v>0</v>
      </c>
      <c r="D41" s="12"/>
      <c r="E41" s="12"/>
      <c r="F41" s="12"/>
      <c r="G41" s="12"/>
      <c r="H41" s="155"/>
      <c r="I41" s="43"/>
      <c r="J41" s="27">
        <f>AVERAGE(C41:I41)/2</f>
        <v>0</v>
      </c>
      <c r="K41" s="66"/>
      <c r="L41" s="66"/>
      <c r="M41" s="66"/>
      <c r="N41" s="66"/>
      <c r="O41" s="66"/>
      <c r="P41" s="57"/>
      <c r="Q41" s="57"/>
      <c r="R41" s="27"/>
      <c r="S41" s="61">
        <f>COUNTIF(C41:I41,"&gt;1")</f>
        <v>0</v>
      </c>
    </row>
    <row r="42" spans="1:21" x14ac:dyDescent="0.2">
      <c r="A42" s="5"/>
      <c r="B42" s="8"/>
      <c r="C42" s="17"/>
      <c r="D42" s="17"/>
      <c r="E42" s="17"/>
      <c r="F42" s="17"/>
      <c r="G42" s="17"/>
      <c r="H42" s="17"/>
      <c r="I42" s="17"/>
      <c r="J42" s="60"/>
      <c r="K42" s="67"/>
      <c r="L42" s="67"/>
      <c r="M42" s="67"/>
      <c r="N42" s="67"/>
      <c r="O42" s="67"/>
      <c r="P42" s="17"/>
      <c r="Q42" s="17"/>
      <c r="R42" s="60">
        <f>SUM(C37:I41)/(S42*2)</f>
        <v>129.69444444444446</v>
      </c>
      <c r="S42" s="61">
        <f>SUM(S37:S41)</f>
        <v>18</v>
      </c>
    </row>
    <row r="43" spans="1:21" ht="13.5" thickBot="1" x14ac:dyDescent="0.25">
      <c r="A43" s="5"/>
      <c r="B43" s="8"/>
      <c r="C43" s="17"/>
      <c r="D43" s="6"/>
      <c r="E43" s="6"/>
      <c r="F43" s="6"/>
      <c r="G43" s="6"/>
      <c r="H43" s="6"/>
      <c r="I43" s="6"/>
      <c r="J43" s="4"/>
      <c r="K43" s="68"/>
      <c r="L43" s="68"/>
      <c r="M43" s="68"/>
      <c r="N43" s="68"/>
      <c r="O43" s="68"/>
      <c r="P43" s="6"/>
      <c r="Q43" s="6"/>
      <c r="R43" s="4"/>
      <c r="S43" s="51"/>
    </row>
    <row r="44" spans="1:21" ht="13.5" thickBot="1" x14ac:dyDescent="0.25">
      <c r="A44" s="77">
        <v>6</v>
      </c>
      <c r="B44" s="105" t="s">
        <v>77</v>
      </c>
      <c r="C44" s="7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  <c r="R44" s="25"/>
    </row>
    <row r="45" spans="1:21" ht="15" x14ac:dyDescent="0.25">
      <c r="A45" s="78">
        <v>6</v>
      </c>
      <c r="B45" s="129" t="s">
        <v>107</v>
      </c>
      <c r="C45" s="72">
        <f>94+124</f>
        <v>218</v>
      </c>
      <c r="D45" s="24">
        <v>220</v>
      </c>
      <c r="E45" s="24">
        <f>120+124</f>
        <v>244</v>
      </c>
      <c r="F45" s="24">
        <f>79+87</f>
        <v>166</v>
      </c>
      <c r="G45" s="24">
        <f>116+137</f>
        <v>253</v>
      </c>
      <c r="H45" s="153">
        <f>110+149</f>
        <v>259</v>
      </c>
      <c r="I45" s="71">
        <f>99+100</f>
        <v>199</v>
      </c>
      <c r="J45" s="27">
        <f>AVERAGE(C45:I45)/2</f>
        <v>111.35714285714286</v>
      </c>
      <c r="K45" s="65"/>
      <c r="L45" s="65"/>
      <c r="M45" s="65"/>
      <c r="N45" s="65"/>
      <c r="O45" s="65"/>
      <c r="P45" s="24"/>
      <c r="Q45" s="24"/>
      <c r="R45" s="27"/>
      <c r="S45" s="61">
        <f>COUNTIF(C45:I45,"&gt;1")</f>
        <v>7</v>
      </c>
    </row>
    <row r="46" spans="1:21" ht="15" x14ac:dyDescent="0.25">
      <c r="A46" s="78">
        <v>6</v>
      </c>
      <c r="B46" s="130" t="s">
        <v>108</v>
      </c>
      <c r="C46" s="23">
        <f>121+113</f>
        <v>234</v>
      </c>
      <c r="D46" s="57">
        <v>233</v>
      </c>
      <c r="E46" s="57">
        <f>120+131</f>
        <v>251</v>
      </c>
      <c r="F46" s="57">
        <f>105+103</f>
        <v>208</v>
      </c>
      <c r="G46" s="57">
        <f>108+86</f>
        <v>194</v>
      </c>
      <c r="H46" s="154">
        <f>79+100</f>
        <v>179</v>
      </c>
      <c r="I46" s="42">
        <f>95+105</f>
        <v>200</v>
      </c>
      <c r="J46" s="27">
        <f>AVERAGE(C46:I46)/2</f>
        <v>107.07142857142857</v>
      </c>
      <c r="K46" s="66"/>
      <c r="L46" s="66"/>
      <c r="M46" s="66"/>
      <c r="N46" s="66"/>
      <c r="O46" s="66"/>
      <c r="P46" s="57"/>
      <c r="Q46" s="57"/>
      <c r="R46" s="27"/>
      <c r="S46" s="61">
        <f>COUNTIF(C46:I46,"&gt;1")</f>
        <v>7</v>
      </c>
    </row>
    <row r="47" spans="1:21" ht="15" x14ac:dyDescent="0.25">
      <c r="A47" s="78">
        <v>6</v>
      </c>
      <c r="B47" s="130" t="s">
        <v>109</v>
      </c>
      <c r="C47" s="23">
        <f>86+85</f>
        <v>171</v>
      </c>
      <c r="D47" s="57">
        <v>225</v>
      </c>
      <c r="E47" s="57">
        <f>69+50</f>
        <v>119</v>
      </c>
      <c r="F47" s="57">
        <f>62+74</f>
        <v>136</v>
      </c>
      <c r="G47" s="57">
        <f>72+64</f>
        <v>136</v>
      </c>
      <c r="H47" s="154">
        <f>80+60</f>
        <v>140</v>
      </c>
      <c r="I47" s="42">
        <f>40+75</f>
        <v>115</v>
      </c>
      <c r="J47" s="27">
        <f>AVERAGE(C47:I47)/2</f>
        <v>74.428571428571431</v>
      </c>
      <c r="K47" s="66"/>
      <c r="L47" s="66"/>
      <c r="M47" s="66"/>
      <c r="N47" s="66"/>
      <c r="O47" s="66"/>
      <c r="P47" s="57"/>
      <c r="Q47" s="57"/>
      <c r="R47" s="27"/>
      <c r="S47" s="61">
        <f>COUNTIF(C47:I47,"&gt;1")</f>
        <v>7</v>
      </c>
    </row>
    <row r="48" spans="1:21" ht="15" x14ac:dyDescent="0.25">
      <c r="A48" s="78">
        <v>6</v>
      </c>
      <c r="B48" s="125"/>
      <c r="C48" s="23">
        <v>0</v>
      </c>
      <c r="D48" s="57"/>
      <c r="E48" s="57"/>
      <c r="F48" s="57"/>
      <c r="G48" s="57"/>
      <c r="H48" s="154"/>
      <c r="I48" s="42"/>
      <c r="J48" s="27">
        <f>AVERAGE(C48:I48)/2</f>
        <v>0</v>
      </c>
      <c r="K48" s="66"/>
      <c r="L48" s="66"/>
      <c r="M48" s="66"/>
      <c r="N48" s="66"/>
      <c r="O48" s="66"/>
      <c r="P48" s="57"/>
      <c r="Q48" s="57"/>
      <c r="R48" s="27"/>
      <c r="S48" s="61">
        <f>COUNTIF(C48:I48,"&gt;1")</f>
        <v>0</v>
      </c>
    </row>
    <row r="49" spans="1:23" ht="15.75" thickBot="1" x14ac:dyDescent="0.3">
      <c r="A49" s="79">
        <v>6</v>
      </c>
      <c r="B49" s="124"/>
      <c r="C49" s="70">
        <v>0</v>
      </c>
      <c r="D49" s="12"/>
      <c r="E49" s="12"/>
      <c r="F49" s="12"/>
      <c r="G49" s="12"/>
      <c r="H49" s="155"/>
      <c r="I49" s="43"/>
      <c r="J49" s="27">
        <f>AVERAGE(C49:I49)/2</f>
        <v>0</v>
      </c>
      <c r="K49" s="66"/>
      <c r="L49" s="66"/>
      <c r="M49" s="66"/>
      <c r="N49" s="66"/>
      <c r="O49" s="66"/>
      <c r="P49" s="57"/>
      <c r="Q49" s="57"/>
      <c r="R49" s="27"/>
      <c r="S49" s="61">
        <f>COUNTIF(C49:I49,"&gt;1")</f>
        <v>0</v>
      </c>
      <c r="V49" s="6"/>
      <c r="W49" s="6"/>
    </row>
    <row r="50" spans="1:23" ht="15" x14ac:dyDescent="0.25">
      <c r="A50" s="5"/>
      <c r="B50" s="8"/>
      <c r="C50" s="17"/>
      <c r="D50" s="17"/>
      <c r="E50" s="17"/>
      <c r="F50" s="17"/>
      <c r="G50" s="17"/>
      <c r="H50" s="17"/>
      <c r="I50" s="17"/>
      <c r="J50" s="60"/>
      <c r="K50" s="67"/>
      <c r="L50" s="67"/>
      <c r="M50" s="67"/>
      <c r="N50" s="67"/>
      <c r="O50" s="67"/>
      <c r="P50" s="17"/>
      <c r="Q50" s="17"/>
      <c r="R50" s="60">
        <f>SUM(C45:I49)/(S50*2)</f>
        <v>97.61904761904762</v>
      </c>
      <c r="S50" s="61">
        <f>SUM(S45:S49)</f>
        <v>21</v>
      </c>
      <c r="V50" s="44"/>
      <c r="W50" s="6"/>
    </row>
    <row r="51" spans="1:23" ht="13.5" thickBot="1" x14ac:dyDescent="0.25">
      <c r="A51" s="5"/>
      <c r="B51" s="8"/>
      <c r="C51" s="17"/>
      <c r="D51" s="6"/>
      <c r="E51" s="6"/>
      <c r="F51" s="6"/>
      <c r="G51" s="6"/>
      <c r="H51" s="6"/>
      <c r="I51" s="6"/>
      <c r="J51" s="4"/>
      <c r="K51" s="68"/>
      <c r="L51" s="68"/>
      <c r="M51" s="68"/>
      <c r="N51" s="68"/>
      <c r="O51" s="68"/>
      <c r="P51" s="6"/>
      <c r="Q51" s="6"/>
      <c r="R51" s="4"/>
      <c r="V51" s="45"/>
      <c r="W51" s="6"/>
    </row>
    <row r="52" spans="1:23" ht="13.5" thickBot="1" x14ac:dyDescent="0.25">
      <c r="A52" s="77">
        <v>7</v>
      </c>
      <c r="B52" s="105" t="s">
        <v>77</v>
      </c>
      <c r="C52" s="73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5"/>
      <c r="R52" s="25"/>
      <c r="V52" s="45"/>
      <c r="W52" s="6"/>
    </row>
    <row r="53" spans="1:23" ht="15" x14ac:dyDescent="0.25">
      <c r="A53" s="78">
        <v>7</v>
      </c>
      <c r="B53" s="129" t="s">
        <v>110</v>
      </c>
      <c r="C53" s="72">
        <f>45+62</f>
        <v>107</v>
      </c>
      <c r="D53" s="24">
        <v>152</v>
      </c>
      <c r="E53" s="24">
        <f>75+103</f>
        <v>178</v>
      </c>
      <c r="F53" s="24">
        <f>69+108</f>
        <v>177</v>
      </c>
      <c r="G53" s="24">
        <f>68+87</f>
        <v>155</v>
      </c>
      <c r="H53" s="153">
        <f>91+83</f>
        <v>174</v>
      </c>
      <c r="I53" s="71">
        <f>72+103</f>
        <v>175</v>
      </c>
      <c r="J53" s="27">
        <f>AVERAGE(C53:I53)/2</f>
        <v>79.857142857142861</v>
      </c>
      <c r="K53" s="65"/>
      <c r="L53" s="65"/>
      <c r="M53" s="65"/>
      <c r="N53" s="65"/>
      <c r="O53" s="65"/>
      <c r="P53" s="24"/>
      <c r="Q53" s="24"/>
      <c r="R53" s="27"/>
      <c r="S53" s="61">
        <f>COUNTIF(C53:I53,"&gt;1")</f>
        <v>7</v>
      </c>
      <c r="T53" s="8"/>
      <c r="V53" s="45"/>
      <c r="W53" s="6"/>
    </row>
    <row r="54" spans="1:23" ht="15" x14ac:dyDescent="0.25">
      <c r="A54" s="78">
        <v>7</v>
      </c>
      <c r="B54" s="130" t="s">
        <v>73</v>
      </c>
      <c r="C54" s="23">
        <f>156+217</f>
        <v>373</v>
      </c>
      <c r="D54" s="57">
        <v>353</v>
      </c>
      <c r="E54" s="57">
        <f>167+186</f>
        <v>353</v>
      </c>
      <c r="F54" s="57">
        <f>164+162</f>
        <v>326</v>
      </c>
      <c r="G54" s="57">
        <f>184+178</f>
        <v>362</v>
      </c>
      <c r="H54" s="154">
        <f>170+198</f>
        <v>368</v>
      </c>
      <c r="I54" s="42">
        <f>136+123</f>
        <v>259</v>
      </c>
      <c r="J54" s="27">
        <f>AVERAGE(C54:I54)/2</f>
        <v>171</v>
      </c>
      <c r="K54" s="66"/>
      <c r="L54" s="66"/>
      <c r="M54" s="66"/>
      <c r="N54" s="66"/>
      <c r="O54" s="66"/>
      <c r="P54" s="57"/>
      <c r="Q54" s="57"/>
      <c r="R54" s="27"/>
      <c r="S54" s="61">
        <f>COUNTIF(C54:I54,"&gt;1")</f>
        <v>7</v>
      </c>
      <c r="V54" s="8"/>
      <c r="W54" s="6"/>
    </row>
    <row r="55" spans="1:23" ht="15" x14ac:dyDescent="0.25">
      <c r="A55" s="78">
        <v>7</v>
      </c>
      <c r="B55" s="130" t="s">
        <v>111</v>
      </c>
      <c r="C55" s="23">
        <f>122+113</f>
        <v>235</v>
      </c>
      <c r="D55" s="57">
        <v>187</v>
      </c>
      <c r="E55" s="57">
        <f>94+108</f>
        <v>202</v>
      </c>
      <c r="F55" s="57">
        <f>110+102</f>
        <v>212</v>
      </c>
      <c r="G55" s="57">
        <f>241+162</f>
        <v>403</v>
      </c>
      <c r="H55" s="154">
        <f>96+113</f>
        <v>209</v>
      </c>
      <c r="I55" s="42">
        <f>119+98</f>
        <v>217</v>
      </c>
      <c r="J55" s="27">
        <f>AVERAGE(C55:I55)/2</f>
        <v>118.92857142857143</v>
      </c>
      <c r="K55" s="66"/>
      <c r="L55" s="66"/>
      <c r="M55" s="66"/>
      <c r="N55" s="66"/>
      <c r="O55" s="66"/>
      <c r="P55" s="57"/>
      <c r="Q55" s="57"/>
      <c r="R55" s="27"/>
      <c r="S55" s="61">
        <f>COUNTIF(C55:I55,"&gt;1")</f>
        <v>7</v>
      </c>
      <c r="T55" s="44"/>
      <c r="V55" s="6"/>
      <c r="W55" s="6"/>
    </row>
    <row r="56" spans="1:23" ht="15" x14ac:dyDescent="0.25">
      <c r="A56" s="78">
        <v>7</v>
      </c>
      <c r="B56" s="103"/>
      <c r="C56" s="23">
        <v>0</v>
      </c>
      <c r="D56" s="57"/>
      <c r="E56" s="57"/>
      <c r="F56" s="57"/>
      <c r="G56" s="57"/>
      <c r="H56" s="154"/>
      <c r="I56" s="42"/>
      <c r="J56" s="27">
        <f>AVERAGE(C56:I56)/2</f>
        <v>0</v>
      </c>
      <c r="K56" s="66"/>
      <c r="L56" s="66"/>
      <c r="M56" s="66"/>
      <c r="N56" s="66"/>
      <c r="O56" s="66"/>
      <c r="P56" s="57"/>
      <c r="Q56" s="57"/>
      <c r="R56" s="27"/>
      <c r="S56" s="61">
        <f>COUNTIF(C56:I56,"&gt;1")</f>
        <v>0</v>
      </c>
      <c r="T56" s="47"/>
      <c r="V56" s="6"/>
      <c r="W56" s="6"/>
    </row>
    <row r="57" spans="1:23" ht="15.75" thickBot="1" x14ac:dyDescent="0.3">
      <c r="A57" s="79">
        <v>7</v>
      </c>
      <c r="B57" s="85" t="s">
        <v>15</v>
      </c>
      <c r="C57" s="70">
        <v>0</v>
      </c>
      <c r="D57" s="12"/>
      <c r="E57" s="12"/>
      <c r="F57" s="12"/>
      <c r="G57" s="12"/>
      <c r="H57" s="155"/>
      <c r="I57" s="43"/>
      <c r="J57" s="27">
        <f>AVERAGE(C57:I57)/2</f>
        <v>0</v>
      </c>
      <c r="K57" s="66"/>
      <c r="L57" s="66"/>
      <c r="M57" s="66"/>
      <c r="N57" s="66"/>
      <c r="O57" s="66"/>
      <c r="P57" s="57"/>
      <c r="Q57" s="57"/>
      <c r="R57" s="27"/>
      <c r="S57" s="61">
        <f>COUNTIF(C57:I57,"&gt;1")</f>
        <v>0</v>
      </c>
      <c r="T57" s="47"/>
      <c r="V57" s="6"/>
      <c r="W57" s="6"/>
    </row>
    <row r="58" spans="1:23" x14ac:dyDescent="0.2">
      <c r="A58" s="5"/>
      <c r="B58" s="8"/>
      <c r="C58" s="17"/>
      <c r="D58" s="17"/>
      <c r="E58" s="17"/>
      <c r="F58" s="17"/>
      <c r="G58" s="17"/>
      <c r="H58" s="17"/>
      <c r="I58" s="17"/>
      <c r="J58" s="60"/>
      <c r="K58" s="67"/>
      <c r="L58" s="67"/>
      <c r="M58" s="67"/>
      <c r="N58" s="67"/>
      <c r="O58" s="67"/>
      <c r="P58" s="17"/>
      <c r="Q58" s="17"/>
      <c r="R58" s="60">
        <f>SUM(C53:I57)/(S58*2)</f>
        <v>123.26190476190476</v>
      </c>
      <c r="S58" s="61">
        <f>SUM(S53:S57)</f>
        <v>21</v>
      </c>
      <c r="T58" s="47"/>
    </row>
    <row r="59" spans="1:23" ht="13.5" thickBot="1" x14ac:dyDescent="0.25">
      <c r="A59" s="5"/>
      <c r="B59" s="8"/>
      <c r="C59" s="17"/>
      <c r="D59" s="6"/>
      <c r="E59" s="6"/>
      <c r="F59" s="6"/>
      <c r="G59" s="6"/>
      <c r="H59" s="6"/>
      <c r="I59" s="6"/>
      <c r="J59" s="4"/>
      <c r="K59" s="68"/>
      <c r="L59" s="68"/>
      <c r="M59" s="68"/>
      <c r="N59" s="68"/>
      <c r="O59" s="68"/>
      <c r="P59" s="6"/>
      <c r="Q59" s="6"/>
      <c r="R59" s="4"/>
      <c r="T59" s="8"/>
    </row>
    <row r="60" spans="1:23" ht="13.5" thickBot="1" x14ac:dyDescent="0.25">
      <c r="A60" s="77">
        <v>8</v>
      </c>
      <c r="B60" s="105" t="s">
        <v>12</v>
      </c>
      <c r="C60" s="73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5"/>
      <c r="R60" s="25"/>
      <c r="T60" s="6"/>
    </row>
    <row r="61" spans="1:23" ht="15" x14ac:dyDescent="0.25">
      <c r="A61" s="78">
        <v>8</v>
      </c>
      <c r="B61" s="98" t="s">
        <v>35</v>
      </c>
      <c r="C61" s="72">
        <f>134+115</f>
        <v>249</v>
      </c>
      <c r="D61" s="24">
        <f>135+130</f>
        <v>265</v>
      </c>
      <c r="E61" s="24">
        <f>138+121</f>
        <v>259</v>
      </c>
      <c r="F61" s="24">
        <f>141+116</f>
        <v>257</v>
      </c>
      <c r="G61" s="24">
        <f>158+129</f>
        <v>287</v>
      </c>
      <c r="H61" s="153"/>
      <c r="I61" s="71"/>
      <c r="J61" s="27">
        <f>AVERAGE(C61:I61)/2</f>
        <v>131.69999999999999</v>
      </c>
      <c r="K61" s="65"/>
      <c r="L61" s="65"/>
      <c r="M61" s="65"/>
      <c r="N61" s="65"/>
      <c r="O61" s="65"/>
      <c r="P61" s="24"/>
      <c r="Q61" s="24"/>
      <c r="R61" s="27"/>
      <c r="S61" s="61">
        <f>COUNTIF(C61:I61,"&gt;1")</f>
        <v>5</v>
      </c>
      <c r="T61" s="44"/>
    </row>
    <row r="62" spans="1:23" ht="15" x14ac:dyDescent="0.25">
      <c r="A62" s="78">
        <v>8</v>
      </c>
      <c r="B62" s="99" t="s">
        <v>14</v>
      </c>
      <c r="C62" s="23">
        <f>172+156</f>
        <v>328</v>
      </c>
      <c r="D62" s="57">
        <f>150+143</f>
        <v>293</v>
      </c>
      <c r="E62" s="57">
        <f>108+104</f>
        <v>212</v>
      </c>
      <c r="F62" s="57">
        <f>113+125</f>
        <v>238</v>
      </c>
      <c r="G62" s="57">
        <f>119+152</f>
        <v>271</v>
      </c>
      <c r="H62" s="154"/>
      <c r="I62" s="42"/>
      <c r="J62" s="27">
        <f>AVERAGE(C62:I62)/2</f>
        <v>134.19999999999999</v>
      </c>
      <c r="K62" s="66"/>
      <c r="L62" s="66"/>
      <c r="M62" s="66"/>
      <c r="N62" s="66"/>
      <c r="O62" s="66"/>
      <c r="P62" s="57"/>
      <c r="Q62" s="57"/>
      <c r="R62" s="27"/>
      <c r="S62" s="61">
        <f>COUNTIF(C62:I62,"&gt;1")</f>
        <v>5</v>
      </c>
      <c r="T62" s="45"/>
    </row>
    <row r="63" spans="1:23" ht="15" x14ac:dyDescent="0.25">
      <c r="A63" s="78">
        <v>8</v>
      </c>
      <c r="B63" s="99" t="s">
        <v>38</v>
      </c>
      <c r="C63" s="23">
        <f>171+132</f>
        <v>303</v>
      </c>
      <c r="D63" s="57">
        <f>156+152</f>
        <v>308</v>
      </c>
      <c r="E63" s="57">
        <f>151+102</f>
        <v>253</v>
      </c>
      <c r="F63" s="57">
        <f>176+131</f>
        <v>307</v>
      </c>
      <c r="G63" s="57">
        <f>149+140</f>
        <v>289</v>
      </c>
      <c r="H63" s="154"/>
      <c r="I63" s="42"/>
      <c r="J63" s="27">
        <f>AVERAGE(C63:I63)/2</f>
        <v>146</v>
      </c>
      <c r="K63" s="66"/>
      <c r="L63" s="66"/>
      <c r="M63" s="66"/>
      <c r="N63" s="66"/>
      <c r="O63" s="66"/>
      <c r="P63" s="57"/>
      <c r="Q63" s="57"/>
      <c r="R63" s="27"/>
      <c r="S63" s="61">
        <f>COUNTIF(C63:I63,"&gt;1")</f>
        <v>5</v>
      </c>
      <c r="T63" s="45"/>
    </row>
    <row r="64" spans="1:23" ht="15" x14ac:dyDescent="0.25">
      <c r="A64" s="78">
        <v>8</v>
      </c>
      <c r="B64" s="99" t="s">
        <v>39</v>
      </c>
      <c r="C64" s="23">
        <f>138+165</f>
        <v>303</v>
      </c>
      <c r="D64" s="57">
        <f>124+189</f>
        <v>313</v>
      </c>
      <c r="E64" s="57">
        <f>181+112</f>
        <v>293</v>
      </c>
      <c r="F64" s="57">
        <f>135+130</f>
        <v>265</v>
      </c>
      <c r="G64" s="57">
        <f>113+144</f>
        <v>257</v>
      </c>
      <c r="H64" s="154"/>
      <c r="I64" s="42"/>
      <c r="J64" s="27">
        <f>AVERAGE(C64:I64)/2</f>
        <v>143.1</v>
      </c>
      <c r="K64" s="66"/>
      <c r="L64" s="66"/>
      <c r="M64" s="66"/>
      <c r="N64" s="66"/>
      <c r="O64" s="66"/>
      <c r="P64" s="57"/>
      <c r="Q64" s="57"/>
      <c r="R64" s="27"/>
      <c r="S64" s="61">
        <f>COUNTIF(C64:I64,"&gt;1")</f>
        <v>5</v>
      </c>
      <c r="T64" s="45"/>
      <c r="U64" s="6"/>
      <c r="V64" s="6"/>
    </row>
    <row r="65" spans="1:22" ht="15.75" thickBot="1" x14ac:dyDescent="0.3">
      <c r="A65" s="79">
        <v>8</v>
      </c>
      <c r="B65" s="100" t="s">
        <v>15</v>
      </c>
      <c r="C65" s="70">
        <v>0</v>
      </c>
      <c r="D65" s="12"/>
      <c r="E65" s="12"/>
      <c r="F65" s="12"/>
      <c r="G65" s="12"/>
      <c r="H65" s="155"/>
      <c r="I65" s="43"/>
      <c r="J65" s="27">
        <f>AVERAGE(C65:I65)/2</f>
        <v>0</v>
      </c>
      <c r="K65" s="66"/>
      <c r="L65" s="66"/>
      <c r="M65" s="66"/>
      <c r="N65" s="66"/>
      <c r="O65" s="66"/>
      <c r="P65" s="57"/>
      <c r="Q65" s="57"/>
      <c r="R65" s="27"/>
      <c r="S65" s="61">
        <f>COUNTIF(C65:I65,"&gt;1")</f>
        <v>0</v>
      </c>
      <c r="T65" s="8"/>
      <c r="U65" s="63"/>
    </row>
    <row r="66" spans="1:22" x14ac:dyDescent="0.2">
      <c r="A66" s="5"/>
      <c r="B66" s="9"/>
      <c r="C66" s="17"/>
      <c r="D66" s="17"/>
      <c r="E66" s="17"/>
      <c r="F66" s="17"/>
      <c r="G66" s="17"/>
      <c r="H66" s="17"/>
      <c r="I66" s="17"/>
      <c r="J66" s="60"/>
      <c r="K66" s="67"/>
      <c r="L66" s="67"/>
      <c r="M66" s="67"/>
      <c r="N66" s="67"/>
      <c r="O66" s="67"/>
      <c r="P66" s="17"/>
      <c r="Q66" s="17"/>
      <c r="R66" s="60">
        <f>SUM(C61:I65)/(S66*2)</f>
        <v>138.75</v>
      </c>
      <c r="S66" s="61">
        <f>SUM(S61:S65)</f>
        <v>20</v>
      </c>
      <c r="T66" s="8"/>
      <c r="U66" s="6"/>
      <c r="V66" s="6"/>
    </row>
    <row r="67" spans="1:22" ht="13.5" thickBot="1" x14ac:dyDescent="0.25">
      <c r="A67" s="5"/>
      <c r="B67" s="9"/>
      <c r="C67" s="17"/>
      <c r="D67" s="17"/>
      <c r="E67" s="17"/>
      <c r="F67" s="17"/>
      <c r="G67" s="6"/>
      <c r="H67" s="6"/>
      <c r="I67" s="6"/>
      <c r="J67" s="4"/>
      <c r="K67" s="68"/>
      <c r="L67" s="68"/>
      <c r="M67" s="68"/>
      <c r="N67" s="68"/>
      <c r="O67" s="68"/>
      <c r="P67" s="6"/>
      <c r="Q67" s="6"/>
      <c r="R67" s="4"/>
      <c r="S67" s="51"/>
      <c r="T67" s="6"/>
      <c r="U67" s="8"/>
      <c r="V67" s="6"/>
    </row>
    <row r="68" spans="1:22" ht="13.5" thickBot="1" x14ac:dyDescent="0.25">
      <c r="A68" s="77">
        <v>9</v>
      </c>
      <c r="B68" s="105" t="s">
        <v>78</v>
      </c>
      <c r="C68" s="73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5"/>
      <c r="R68" s="25"/>
      <c r="T68" s="6"/>
      <c r="U68" s="6"/>
      <c r="V68" s="6"/>
    </row>
    <row r="69" spans="1:22" ht="15" x14ac:dyDescent="0.25">
      <c r="A69" s="78">
        <v>9</v>
      </c>
      <c r="B69" s="129" t="s">
        <v>91</v>
      </c>
      <c r="C69" s="72">
        <f>99+126</f>
        <v>225</v>
      </c>
      <c r="D69" s="24">
        <f>116+95</f>
        <v>211</v>
      </c>
      <c r="E69" s="24">
        <f>111+137</f>
        <v>248</v>
      </c>
      <c r="F69" s="24"/>
      <c r="G69" s="24"/>
      <c r="H69" s="153"/>
      <c r="I69" s="71"/>
      <c r="J69" s="27">
        <f>AVERAGE(C69:I69)/2</f>
        <v>114</v>
      </c>
      <c r="K69" s="65"/>
      <c r="L69" s="65"/>
      <c r="M69" s="65"/>
      <c r="N69" s="65"/>
      <c r="O69" s="65"/>
      <c r="P69" s="24"/>
      <c r="Q69" s="24"/>
      <c r="R69" s="27"/>
      <c r="S69" s="61">
        <f>COUNTIF(C69:I69,"&gt;1")</f>
        <v>3</v>
      </c>
      <c r="U69" s="6"/>
      <c r="V69" s="6"/>
    </row>
    <row r="70" spans="1:22" ht="15" x14ac:dyDescent="0.25">
      <c r="A70" s="78">
        <v>9</v>
      </c>
      <c r="B70" s="130" t="s">
        <v>43</v>
      </c>
      <c r="C70" s="23">
        <f>95+122</f>
        <v>217</v>
      </c>
      <c r="D70" s="57">
        <f>84+85</f>
        <v>169</v>
      </c>
      <c r="E70" s="57">
        <f>102+60</f>
        <v>162</v>
      </c>
      <c r="F70" s="57"/>
      <c r="G70" s="57"/>
      <c r="H70" s="154"/>
      <c r="I70" s="42"/>
      <c r="J70" s="27">
        <f>AVERAGE(C70:I70)/2</f>
        <v>91.333333333333329</v>
      </c>
      <c r="K70" s="66"/>
      <c r="L70" s="66"/>
      <c r="M70" s="66"/>
      <c r="N70" s="66"/>
      <c r="O70" s="66"/>
      <c r="P70" s="57"/>
      <c r="Q70" s="57"/>
      <c r="R70" s="27"/>
      <c r="S70" s="61">
        <f>COUNTIF(C70:I70,"&gt;1")</f>
        <v>3</v>
      </c>
      <c r="U70" s="6"/>
      <c r="V70" s="6"/>
    </row>
    <row r="71" spans="1:22" ht="15" x14ac:dyDescent="0.25">
      <c r="A71" s="78">
        <v>9</v>
      </c>
      <c r="B71" s="130" t="s">
        <v>92</v>
      </c>
      <c r="C71" s="23">
        <f>132+108</f>
        <v>240</v>
      </c>
      <c r="D71" s="57">
        <f>114+109</f>
        <v>223</v>
      </c>
      <c r="E71" s="57">
        <f>135+94</f>
        <v>229</v>
      </c>
      <c r="F71" s="57"/>
      <c r="G71" s="57"/>
      <c r="H71" s="154"/>
      <c r="I71" s="42"/>
      <c r="J71" s="27">
        <f>AVERAGE(C71:I71)/2</f>
        <v>115.33333333333333</v>
      </c>
      <c r="K71" s="66"/>
      <c r="L71" s="66"/>
      <c r="M71" s="66"/>
      <c r="N71" s="66"/>
      <c r="O71" s="66"/>
      <c r="P71" s="57"/>
      <c r="Q71" s="57"/>
      <c r="R71" s="27"/>
      <c r="S71" s="61">
        <f>COUNTIF(C71:I71,"&gt;1")</f>
        <v>3</v>
      </c>
      <c r="U71" s="6"/>
      <c r="V71" s="6"/>
    </row>
    <row r="72" spans="1:22" ht="15" x14ac:dyDescent="0.25">
      <c r="A72" s="78">
        <v>9</v>
      </c>
      <c r="B72" s="84" t="s">
        <v>19</v>
      </c>
      <c r="C72" s="23">
        <v>0</v>
      </c>
      <c r="D72" s="57"/>
      <c r="E72" s="57"/>
      <c r="F72" s="57"/>
      <c r="G72" s="57"/>
      <c r="H72" s="154"/>
      <c r="I72" s="42"/>
      <c r="J72" s="27">
        <f>AVERAGE(C72:I72)/2</f>
        <v>0</v>
      </c>
      <c r="K72" s="66"/>
      <c r="L72" s="66"/>
      <c r="M72" s="66"/>
      <c r="N72" s="66"/>
      <c r="O72" s="66"/>
      <c r="P72" s="57"/>
      <c r="Q72" s="57"/>
      <c r="R72" s="27"/>
      <c r="S72" s="61">
        <f>COUNTIF(C72:I72,"&gt;1")</f>
        <v>0</v>
      </c>
      <c r="U72" s="6"/>
      <c r="V72" s="6"/>
    </row>
    <row r="73" spans="1:22" ht="15.75" thickBot="1" x14ac:dyDescent="0.3">
      <c r="A73" s="79">
        <v>9</v>
      </c>
      <c r="B73" s="85" t="s">
        <v>15</v>
      </c>
      <c r="C73" s="70">
        <v>0</v>
      </c>
      <c r="D73" s="12"/>
      <c r="E73" s="12"/>
      <c r="F73" s="12"/>
      <c r="G73" s="12"/>
      <c r="H73" s="155"/>
      <c r="I73" s="43"/>
      <c r="J73" s="27">
        <f>AVERAGE(C73:I73)/2</f>
        <v>0</v>
      </c>
      <c r="K73" s="66"/>
      <c r="L73" s="66"/>
      <c r="M73" s="66"/>
      <c r="N73" s="66"/>
      <c r="O73" s="66"/>
      <c r="P73" s="57"/>
      <c r="Q73" s="57"/>
      <c r="R73" s="27"/>
      <c r="S73" s="61">
        <f>COUNTIF(C73:I73,"&gt;1")</f>
        <v>0</v>
      </c>
      <c r="U73" s="6"/>
      <c r="V73" s="8"/>
    </row>
    <row r="74" spans="1:22" x14ac:dyDescent="0.2">
      <c r="A74" s="5"/>
      <c r="B74" s="9"/>
      <c r="C74" s="17"/>
      <c r="D74" s="17"/>
      <c r="E74" s="17"/>
      <c r="F74" s="17"/>
      <c r="G74" s="17"/>
      <c r="H74" s="17"/>
      <c r="I74" s="17"/>
      <c r="J74" s="60"/>
      <c r="K74" s="67"/>
      <c r="L74" s="67"/>
      <c r="M74" s="67"/>
      <c r="N74" s="67"/>
      <c r="O74" s="67"/>
      <c r="P74" s="17"/>
      <c r="Q74" s="17"/>
      <c r="R74" s="60">
        <f>SUM(C69:I73)/(S74*2)</f>
        <v>106.88888888888889</v>
      </c>
      <c r="S74" s="61">
        <f>SUM(S69:S73)</f>
        <v>9</v>
      </c>
    </row>
    <row r="75" spans="1:22" ht="13.5" thickBot="1" x14ac:dyDescent="0.25">
      <c r="A75" s="5"/>
      <c r="B75" s="9"/>
      <c r="C75" s="17"/>
      <c r="D75" s="6"/>
      <c r="E75" s="6"/>
      <c r="F75" s="6"/>
      <c r="G75" s="6"/>
      <c r="H75" s="6"/>
      <c r="I75" s="6"/>
      <c r="J75" s="4"/>
      <c r="K75" s="68"/>
      <c r="L75" s="68"/>
      <c r="M75" s="68"/>
      <c r="N75" s="68"/>
      <c r="O75" s="68"/>
      <c r="P75" s="6"/>
      <c r="Q75" s="6"/>
      <c r="R75" s="4"/>
      <c r="S75" s="51"/>
    </row>
    <row r="76" spans="1:22" ht="13.5" thickBot="1" x14ac:dyDescent="0.25">
      <c r="A76" s="77">
        <v>10</v>
      </c>
      <c r="B76" s="105" t="s">
        <v>29</v>
      </c>
      <c r="C76" s="73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5"/>
      <c r="R76" s="25"/>
    </row>
    <row r="77" spans="1:22" ht="15" x14ac:dyDescent="0.25">
      <c r="A77" s="78">
        <v>10</v>
      </c>
      <c r="B77" s="98" t="s">
        <v>36</v>
      </c>
      <c r="C77" s="72">
        <v>205</v>
      </c>
      <c r="D77" s="24">
        <f>90+113</f>
        <v>203</v>
      </c>
      <c r="E77" s="24">
        <f>88+117</f>
        <v>205</v>
      </c>
      <c r="F77" s="24">
        <f>104+115</f>
        <v>219</v>
      </c>
      <c r="G77" s="24">
        <f>100+75</f>
        <v>175</v>
      </c>
      <c r="H77" s="153">
        <v>253</v>
      </c>
      <c r="I77" s="71">
        <f>177+112</f>
        <v>289</v>
      </c>
      <c r="J77" s="27">
        <f>AVERAGE(C77:I77)/2</f>
        <v>110.64285714285714</v>
      </c>
      <c r="K77" s="65"/>
      <c r="L77" s="65"/>
      <c r="M77" s="65"/>
      <c r="N77" s="65"/>
      <c r="O77" s="65"/>
      <c r="P77" s="24"/>
      <c r="Q77" s="24"/>
      <c r="R77" s="27"/>
      <c r="S77" s="61">
        <f>COUNTIF(C77:I77,"&gt;1")</f>
        <v>7</v>
      </c>
    </row>
    <row r="78" spans="1:22" ht="15" x14ac:dyDescent="0.25">
      <c r="A78" s="78">
        <v>10</v>
      </c>
      <c r="B78" s="127" t="s">
        <v>88</v>
      </c>
      <c r="C78" s="23"/>
      <c r="D78" s="57">
        <f>144+131</f>
        <v>275</v>
      </c>
      <c r="E78" s="57">
        <f>181+155</f>
        <v>336</v>
      </c>
      <c r="F78" s="57">
        <f>131+138</f>
        <v>269</v>
      </c>
      <c r="G78" s="57"/>
      <c r="H78" s="154">
        <v>251</v>
      </c>
      <c r="I78" s="42">
        <f>154+112</f>
        <v>266</v>
      </c>
      <c r="J78" s="27">
        <f>AVERAGE(C78:I78)/2</f>
        <v>139.69999999999999</v>
      </c>
      <c r="K78" s="66"/>
      <c r="L78" s="66"/>
      <c r="M78" s="66"/>
      <c r="N78" s="66"/>
      <c r="O78" s="66"/>
      <c r="P78" s="57"/>
      <c r="Q78" s="57"/>
      <c r="R78" s="27"/>
      <c r="S78" s="61">
        <f>COUNTIF(C78:I78,"&gt;1")</f>
        <v>5</v>
      </c>
    </row>
    <row r="79" spans="1:22" ht="15" x14ac:dyDescent="0.25">
      <c r="A79" s="78">
        <v>10</v>
      </c>
      <c r="B79" s="99" t="s">
        <v>37</v>
      </c>
      <c r="C79" s="23">
        <v>285</v>
      </c>
      <c r="D79" s="57">
        <f>139+133</f>
        <v>272</v>
      </c>
      <c r="E79" s="57">
        <f>127+125</f>
        <v>252</v>
      </c>
      <c r="F79" s="57">
        <f>107+139</f>
        <v>246</v>
      </c>
      <c r="G79" s="57">
        <f>129+96</f>
        <v>225</v>
      </c>
      <c r="H79" s="154">
        <v>286</v>
      </c>
      <c r="I79" s="42">
        <f>160+112</f>
        <v>272</v>
      </c>
      <c r="J79" s="27">
        <f>AVERAGE(C79:I79)/2</f>
        <v>131.28571428571428</v>
      </c>
      <c r="K79" s="66"/>
      <c r="L79" s="66"/>
      <c r="M79" s="66"/>
      <c r="N79" s="66"/>
      <c r="O79" s="66"/>
      <c r="P79" s="57"/>
      <c r="Q79" s="57"/>
      <c r="R79" s="27"/>
      <c r="S79" s="61">
        <f>COUNTIF(C79:I79,"&gt;1")</f>
        <v>7</v>
      </c>
    </row>
    <row r="80" spans="1:22" ht="15" x14ac:dyDescent="0.25">
      <c r="A80" s="78">
        <v>10</v>
      </c>
      <c r="B80" s="115" t="s">
        <v>72</v>
      </c>
      <c r="C80" s="23">
        <v>265</v>
      </c>
      <c r="D80" s="57">
        <f>90+124</f>
        <v>214</v>
      </c>
      <c r="E80" s="57">
        <f>127+101</f>
        <v>228</v>
      </c>
      <c r="F80" s="57">
        <f>90+117</f>
        <v>207</v>
      </c>
      <c r="G80" s="57">
        <f>133+104</f>
        <v>237</v>
      </c>
      <c r="H80" s="154"/>
      <c r="I80" s="42">
        <f>98+134</f>
        <v>232</v>
      </c>
      <c r="J80" s="27">
        <f>AVERAGE(C80:I80)/2</f>
        <v>115.25</v>
      </c>
      <c r="K80" s="66"/>
      <c r="L80" s="66"/>
      <c r="M80" s="66"/>
      <c r="N80" s="66"/>
      <c r="O80" s="66"/>
      <c r="P80" s="57"/>
      <c r="Q80" s="57"/>
      <c r="R80" s="27"/>
      <c r="S80" s="61">
        <f>COUNTIF(C80:I80,"&gt;1")</f>
        <v>6</v>
      </c>
    </row>
    <row r="81" spans="1:19" ht="15.75" thickBot="1" x14ac:dyDescent="0.3">
      <c r="A81" s="79">
        <v>10</v>
      </c>
      <c r="B81" s="85" t="s">
        <v>15</v>
      </c>
      <c r="C81" s="70">
        <v>0</v>
      </c>
      <c r="D81" s="12"/>
      <c r="E81" s="12"/>
      <c r="F81" s="12"/>
      <c r="G81" s="12"/>
      <c r="H81" s="155"/>
      <c r="I81" s="43"/>
      <c r="J81" s="27">
        <f>AVERAGE(C81:I81)/2</f>
        <v>0</v>
      </c>
      <c r="K81" s="66"/>
      <c r="L81" s="66"/>
      <c r="M81" s="66"/>
      <c r="N81" s="66"/>
      <c r="O81" s="66"/>
      <c r="P81" s="57"/>
      <c r="Q81" s="57"/>
      <c r="R81" s="27"/>
      <c r="S81" s="61">
        <f>COUNTIF(C81:I81,"&gt;1")</f>
        <v>0</v>
      </c>
    </row>
    <row r="82" spans="1:19" x14ac:dyDescent="0.2">
      <c r="A82" s="5"/>
      <c r="B82" s="8"/>
      <c r="C82" s="17"/>
      <c r="D82" s="17"/>
      <c r="E82" s="17"/>
      <c r="F82" s="17"/>
      <c r="G82" s="17"/>
      <c r="H82" s="17"/>
      <c r="I82" s="17"/>
      <c r="J82" s="60"/>
      <c r="K82" s="67"/>
      <c r="L82" s="67"/>
      <c r="M82" s="67"/>
      <c r="N82" s="67"/>
      <c r="O82" s="67"/>
      <c r="P82" s="17"/>
      <c r="Q82" s="17"/>
      <c r="R82" s="60">
        <f>SUM(C77:I81)/(S82*2)</f>
        <v>123.34</v>
      </c>
      <c r="S82" s="61">
        <f>SUM(S77:S81)</f>
        <v>25</v>
      </c>
    </row>
    <row r="83" spans="1:19" ht="13.5" thickBot="1" x14ac:dyDescent="0.25">
      <c r="A83" s="5"/>
      <c r="B83" s="8"/>
      <c r="C83" s="17"/>
      <c r="D83" s="6"/>
      <c r="E83" s="6"/>
      <c r="F83" s="6"/>
      <c r="G83" s="6"/>
      <c r="H83" s="6"/>
      <c r="I83" s="6"/>
      <c r="J83" s="4"/>
      <c r="K83" s="68"/>
      <c r="L83" s="68"/>
      <c r="M83" s="68"/>
      <c r="N83" s="68"/>
      <c r="O83" s="68"/>
      <c r="P83" s="6"/>
      <c r="Q83" s="6"/>
      <c r="R83" s="4"/>
    </row>
    <row r="84" spans="1:19" ht="13.5" thickBot="1" x14ac:dyDescent="0.25">
      <c r="A84" s="77">
        <v>11</v>
      </c>
      <c r="B84" s="105" t="s">
        <v>74</v>
      </c>
      <c r="C84" s="73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5"/>
      <c r="R84" s="25"/>
    </row>
    <row r="85" spans="1:19" ht="15" x14ac:dyDescent="0.25">
      <c r="A85" s="78">
        <v>11</v>
      </c>
      <c r="B85" s="97" t="s">
        <v>24</v>
      </c>
      <c r="C85" s="144">
        <f>143+131</f>
        <v>274</v>
      </c>
      <c r="D85" s="24">
        <v>247</v>
      </c>
      <c r="E85" s="24">
        <v>239</v>
      </c>
      <c r="F85" s="24">
        <f>148+153</f>
        <v>301</v>
      </c>
      <c r="G85" s="24"/>
      <c r="H85" s="153"/>
      <c r="I85" s="71"/>
      <c r="J85" s="27">
        <f>AVERAGE(C85:I85)/2</f>
        <v>132.625</v>
      </c>
      <c r="K85" s="65"/>
      <c r="L85" s="65"/>
      <c r="M85" s="65"/>
      <c r="N85" s="65"/>
      <c r="O85" s="65"/>
      <c r="P85" s="24"/>
      <c r="Q85" s="24"/>
      <c r="R85" s="27"/>
      <c r="S85" s="61">
        <f>COUNTIF(C85:I85,"&gt;1")</f>
        <v>4</v>
      </c>
    </row>
    <row r="86" spans="1:19" ht="15" x14ac:dyDescent="0.25">
      <c r="A86" s="78">
        <v>11</v>
      </c>
      <c r="B86" s="96" t="s">
        <v>28</v>
      </c>
      <c r="C86" s="23">
        <f>121+141</f>
        <v>262</v>
      </c>
      <c r="D86" s="57">
        <v>291</v>
      </c>
      <c r="E86" s="57">
        <v>249</v>
      </c>
      <c r="F86" s="57">
        <f>159+139</f>
        <v>298</v>
      </c>
      <c r="G86" s="57"/>
      <c r="H86" s="154"/>
      <c r="I86" s="42"/>
      <c r="J86" s="27">
        <f>AVERAGE(C86:I86)/2</f>
        <v>137.5</v>
      </c>
      <c r="K86" s="66"/>
      <c r="L86" s="66"/>
      <c r="M86" s="66"/>
      <c r="N86" s="66"/>
      <c r="O86" s="66"/>
      <c r="P86" s="57"/>
      <c r="Q86" s="57"/>
      <c r="R86" s="27"/>
      <c r="S86" s="61">
        <f>COUNTIF(C86:I86,"&gt;1")</f>
        <v>4</v>
      </c>
    </row>
    <row r="87" spans="1:19" ht="15" x14ac:dyDescent="0.25">
      <c r="A87" s="78">
        <v>11</v>
      </c>
      <c r="B87" s="96" t="s">
        <v>21</v>
      </c>
      <c r="C87" s="23">
        <f>136+100</f>
        <v>236</v>
      </c>
      <c r="D87" s="57">
        <v>224</v>
      </c>
      <c r="E87" s="57">
        <v>208</v>
      </c>
      <c r="F87" s="57">
        <f>117+112</f>
        <v>229</v>
      </c>
      <c r="G87" s="57"/>
      <c r="H87" s="154"/>
      <c r="I87" s="42"/>
      <c r="J87" s="27">
        <f>AVERAGE(C87:I87)/2</f>
        <v>112.125</v>
      </c>
      <c r="K87" s="66"/>
      <c r="L87" s="66"/>
      <c r="M87" s="66"/>
      <c r="N87" s="66"/>
      <c r="O87" s="66"/>
      <c r="P87" s="57"/>
      <c r="Q87" s="57"/>
      <c r="R87" s="27"/>
      <c r="S87" s="61">
        <f>COUNTIF(C87:I87,"&gt;1")</f>
        <v>4</v>
      </c>
    </row>
    <row r="88" spans="1:19" ht="15" x14ac:dyDescent="0.25">
      <c r="A88" s="78">
        <v>11</v>
      </c>
      <c r="B88" s="96" t="s">
        <v>22</v>
      </c>
      <c r="C88" s="23">
        <f>127+137</f>
        <v>264</v>
      </c>
      <c r="D88" s="57">
        <v>293</v>
      </c>
      <c r="E88" s="57">
        <v>347</v>
      </c>
      <c r="F88" s="57">
        <f>137+165</f>
        <v>302</v>
      </c>
      <c r="G88" s="57"/>
      <c r="H88" s="154"/>
      <c r="I88" s="42"/>
      <c r="J88" s="27">
        <f>AVERAGE(C88:I88)/2</f>
        <v>150.75</v>
      </c>
      <c r="K88" s="66"/>
      <c r="L88" s="66"/>
      <c r="M88" s="66"/>
      <c r="N88" s="66"/>
      <c r="O88" s="66"/>
      <c r="P88" s="57"/>
      <c r="Q88" s="57"/>
      <c r="R88" s="27"/>
      <c r="S88" s="61">
        <f>COUNTIF(C88:I88,"&gt;1")</f>
        <v>4</v>
      </c>
    </row>
    <row r="89" spans="1:19" ht="15.75" thickBot="1" x14ac:dyDescent="0.3">
      <c r="A89" s="79">
        <v>11</v>
      </c>
      <c r="B89" s="93"/>
      <c r="C89" s="70">
        <v>0</v>
      </c>
      <c r="D89" s="12"/>
      <c r="E89" s="12"/>
      <c r="F89" s="12"/>
      <c r="G89" s="12"/>
      <c r="H89" s="155"/>
      <c r="I89" s="43"/>
      <c r="J89" s="27">
        <f>AVERAGE(C89:I89)/2</f>
        <v>0</v>
      </c>
      <c r="K89" s="66"/>
      <c r="L89" s="66"/>
      <c r="M89" s="66"/>
      <c r="N89" s="66"/>
      <c r="O89" s="66"/>
      <c r="P89" s="57"/>
      <c r="Q89" s="57"/>
      <c r="R89" s="27"/>
      <c r="S89" s="61">
        <f>COUNTIF(C89:I89,"&gt;1")</f>
        <v>0</v>
      </c>
    </row>
    <row r="90" spans="1:19" x14ac:dyDescent="0.2">
      <c r="A90" s="5"/>
      <c r="B90" s="8"/>
      <c r="C90" s="17"/>
      <c r="D90" s="17"/>
      <c r="E90" s="17"/>
      <c r="F90" s="17"/>
      <c r="G90" s="17"/>
      <c r="H90" s="17"/>
      <c r="I90" s="17"/>
      <c r="J90" s="60"/>
      <c r="K90" s="67"/>
      <c r="L90" s="67"/>
      <c r="M90" s="67"/>
      <c r="N90" s="67"/>
      <c r="O90" s="67"/>
      <c r="P90" s="17"/>
      <c r="Q90" s="17"/>
      <c r="R90" s="60">
        <f>SUM(C85:I89)/(S90*2)</f>
        <v>133.25</v>
      </c>
      <c r="S90" s="61">
        <f>SUM(S85:S89)</f>
        <v>16</v>
      </c>
    </row>
    <row r="91" spans="1:19" ht="13.5" thickBot="1" x14ac:dyDescent="0.25">
      <c r="A91" s="5"/>
      <c r="B91" s="8"/>
      <c r="C91" s="17"/>
      <c r="D91" s="6"/>
      <c r="E91" s="6"/>
      <c r="F91" s="6"/>
      <c r="G91" s="6"/>
      <c r="H91" s="6"/>
      <c r="I91" s="6"/>
      <c r="J91" s="4"/>
      <c r="K91" s="68"/>
      <c r="L91" s="68"/>
      <c r="M91" s="68"/>
      <c r="N91" s="68"/>
      <c r="O91" s="68"/>
      <c r="P91" s="6"/>
      <c r="Q91" s="6"/>
      <c r="R91" s="4"/>
    </row>
    <row r="92" spans="1:19" ht="13.5" thickBot="1" x14ac:dyDescent="0.25">
      <c r="A92" s="77">
        <v>12</v>
      </c>
      <c r="B92" s="105" t="s">
        <v>34</v>
      </c>
      <c r="C92" s="73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5"/>
      <c r="R92" s="25"/>
    </row>
    <row r="93" spans="1:19" ht="15" x14ac:dyDescent="0.25">
      <c r="A93" s="78">
        <v>12</v>
      </c>
      <c r="B93" s="97" t="s">
        <v>31</v>
      </c>
      <c r="C93" s="72">
        <f>124+110</f>
        <v>234</v>
      </c>
      <c r="D93" s="24">
        <v>305</v>
      </c>
      <c r="E93" s="24">
        <f>148+149</f>
        <v>297</v>
      </c>
      <c r="F93" s="24">
        <f>156+136</f>
        <v>292</v>
      </c>
      <c r="G93" s="24">
        <f>155+148</f>
        <v>303</v>
      </c>
      <c r="H93" s="153">
        <f>181+126</f>
        <v>307</v>
      </c>
      <c r="I93" s="71">
        <f>147+174</f>
        <v>321</v>
      </c>
      <c r="J93" s="27">
        <f>AVERAGE(C93:I93)/2</f>
        <v>147.07142857142858</v>
      </c>
      <c r="K93" s="65"/>
      <c r="L93" s="65"/>
      <c r="M93" s="65"/>
      <c r="N93" s="65"/>
      <c r="O93" s="65"/>
      <c r="P93" s="24"/>
      <c r="Q93" s="24"/>
      <c r="R93" s="27"/>
      <c r="S93" s="61">
        <f>COUNTIF(C93:I93,"&gt;1")</f>
        <v>7</v>
      </c>
    </row>
    <row r="94" spans="1:19" ht="15" x14ac:dyDescent="0.25">
      <c r="A94" s="78">
        <v>12</v>
      </c>
      <c r="B94" s="96" t="s">
        <v>32</v>
      </c>
      <c r="C94" s="23">
        <f>161+188</f>
        <v>349</v>
      </c>
      <c r="D94" s="57">
        <v>387</v>
      </c>
      <c r="E94" s="57">
        <f>162+192</f>
        <v>354</v>
      </c>
      <c r="F94" s="57">
        <f>138+192</f>
        <v>330</v>
      </c>
      <c r="G94" s="57">
        <f>187+148</f>
        <v>335</v>
      </c>
      <c r="H94" s="154">
        <f>145+119</f>
        <v>264</v>
      </c>
      <c r="I94" s="42">
        <f>144+145</f>
        <v>289</v>
      </c>
      <c r="J94" s="27">
        <f>AVERAGE(C94:I94)/2</f>
        <v>164.85714285714286</v>
      </c>
      <c r="K94" s="66"/>
      <c r="L94" s="66"/>
      <c r="M94" s="66"/>
      <c r="N94" s="66"/>
      <c r="O94" s="66"/>
      <c r="P94" s="57"/>
      <c r="Q94" s="57"/>
      <c r="R94" s="27"/>
      <c r="S94" s="61">
        <f>COUNTIF(C94:I94,"&gt;1")</f>
        <v>7</v>
      </c>
    </row>
    <row r="95" spans="1:19" ht="15" x14ac:dyDescent="0.25">
      <c r="A95" s="78">
        <v>12</v>
      </c>
      <c r="B95" s="96" t="s">
        <v>20</v>
      </c>
      <c r="C95" s="23">
        <f>118+134</f>
        <v>252</v>
      </c>
      <c r="D95" s="57">
        <v>215</v>
      </c>
      <c r="E95" s="57">
        <f>129+133</f>
        <v>262</v>
      </c>
      <c r="F95" s="57">
        <f>126+139</f>
        <v>265</v>
      </c>
      <c r="G95" s="57">
        <f>124+112</f>
        <v>236</v>
      </c>
      <c r="H95" s="154">
        <f>85+146</f>
        <v>231</v>
      </c>
      <c r="I95" s="42">
        <f>127+145</f>
        <v>272</v>
      </c>
      <c r="J95" s="27">
        <f>AVERAGE(C95:I95)/2</f>
        <v>123.78571428571429</v>
      </c>
      <c r="K95" s="66"/>
      <c r="L95" s="66"/>
      <c r="M95" s="66"/>
      <c r="N95" s="66"/>
      <c r="O95" s="66"/>
      <c r="P95" s="57"/>
      <c r="Q95" s="57"/>
      <c r="R95" s="27"/>
      <c r="S95" s="61">
        <f>COUNTIF(C95:I95,"&gt;1")</f>
        <v>7</v>
      </c>
    </row>
    <row r="96" spans="1:19" ht="15" x14ac:dyDescent="0.25">
      <c r="A96" s="78">
        <v>12</v>
      </c>
      <c r="B96" s="96" t="s">
        <v>33</v>
      </c>
      <c r="C96" s="23">
        <f>116+119</f>
        <v>235</v>
      </c>
      <c r="D96" s="57">
        <v>286</v>
      </c>
      <c r="E96" s="57">
        <f>102+100</f>
        <v>202</v>
      </c>
      <c r="F96" s="57">
        <f>114+138</f>
        <v>252</v>
      </c>
      <c r="G96" s="57">
        <f>142+108</f>
        <v>250</v>
      </c>
      <c r="H96" s="154">
        <f>133+125</f>
        <v>258</v>
      </c>
      <c r="I96" s="42">
        <f>129+106</f>
        <v>235</v>
      </c>
      <c r="J96" s="27">
        <f>AVERAGE(C96:I96)/2</f>
        <v>122.71428571428571</v>
      </c>
      <c r="K96" s="66"/>
      <c r="L96" s="66"/>
      <c r="M96" s="66"/>
      <c r="N96" s="66"/>
      <c r="O96" s="66"/>
      <c r="P96" s="57"/>
      <c r="Q96" s="57"/>
      <c r="R96" s="27"/>
      <c r="S96" s="61">
        <f>COUNTIF(C96:I96,"&gt;1")</f>
        <v>7</v>
      </c>
    </row>
    <row r="97" spans="1:19" ht="15.75" thickBot="1" x14ac:dyDescent="0.3">
      <c r="A97" s="79">
        <v>12</v>
      </c>
      <c r="B97" s="93"/>
      <c r="C97" s="70">
        <v>0</v>
      </c>
      <c r="D97" s="12"/>
      <c r="E97" s="12"/>
      <c r="F97" s="12"/>
      <c r="G97" s="12"/>
      <c r="H97" s="155"/>
      <c r="I97" s="43"/>
      <c r="J97" s="27">
        <f>AVERAGE(C97:I97)/2</f>
        <v>0</v>
      </c>
      <c r="K97" s="66"/>
      <c r="L97" s="66"/>
      <c r="M97" s="66"/>
      <c r="N97" s="66"/>
      <c r="O97" s="66"/>
      <c r="P97" s="57"/>
      <c r="Q97" s="57"/>
      <c r="R97" s="27"/>
      <c r="S97" s="61">
        <f>COUNTIF(C97:I97,"&gt;1")</f>
        <v>0</v>
      </c>
    </row>
    <row r="98" spans="1:19" x14ac:dyDescent="0.2">
      <c r="A98" s="5"/>
      <c r="B98" s="8"/>
      <c r="C98" s="17"/>
      <c r="D98" s="17"/>
      <c r="E98" s="17"/>
      <c r="F98" s="17"/>
      <c r="G98" s="17"/>
      <c r="H98" s="17"/>
      <c r="I98" s="17"/>
      <c r="J98" s="60"/>
      <c r="K98" s="67"/>
      <c r="L98" s="67"/>
      <c r="M98" s="67"/>
      <c r="N98" s="67"/>
      <c r="O98" s="67"/>
      <c r="P98" s="17"/>
      <c r="Q98" s="17"/>
      <c r="R98" s="60">
        <f>SUM(C93:I97)/(S98*2)</f>
        <v>139.60714285714286</v>
      </c>
      <c r="S98" s="61">
        <f>SUM(S93:S97)</f>
        <v>28</v>
      </c>
    </row>
    <row r="99" spans="1:19" ht="13.5" thickBot="1" x14ac:dyDescent="0.25">
      <c r="A99" s="5"/>
      <c r="B99" s="8"/>
      <c r="C99" s="17"/>
      <c r="D99" s="6"/>
      <c r="E99" s="6"/>
      <c r="F99" s="6"/>
      <c r="G99" s="6"/>
      <c r="H99" s="6"/>
      <c r="I99" s="6"/>
      <c r="J99" s="4"/>
      <c r="K99" s="68"/>
      <c r="L99" s="68"/>
      <c r="M99" s="68"/>
      <c r="N99" s="68"/>
      <c r="O99" s="68"/>
      <c r="P99" s="6"/>
      <c r="Q99" s="6"/>
      <c r="R99" s="4"/>
    </row>
    <row r="100" spans="1:19" ht="13.5" thickBot="1" x14ac:dyDescent="0.25">
      <c r="A100" s="77">
        <v>13</v>
      </c>
      <c r="B100" s="105" t="s">
        <v>71</v>
      </c>
      <c r="C100" s="73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5"/>
      <c r="R100" s="25"/>
    </row>
    <row r="101" spans="1:19" ht="15" x14ac:dyDescent="0.25">
      <c r="A101" s="78">
        <v>13</v>
      </c>
      <c r="B101" s="101" t="s">
        <v>47</v>
      </c>
      <c r="C101" s="118">
        <f>158+126</f>
        <v>284</v>
      </c>
      <c r="D101" s="24">
        <v>339</v>
      </c>
      <c r="E101" s="24">
        <f>147+122</f>
        <v>269</v>
      </c>
      <c r="F101" s="24"/>
      <c r="G101" s="24">
        <v>323</v>
      </c>
      <c r="H101" s="153">
        <f>165+158</f>
        <v>323</v>
      </c>
      <c r="I101" s="71">
        <f>143+129</f>
        <v>272</v>
      </c>
      <c r="J101" s="27">
        <f>AVERAGE(C101:I101)/2</f>
        <v>150.83333333333334</v>
      </c>
      <c r="K101" s="65"/>
      <c r="L101" s="65"/>
      <c r="M101" s="65"/>
      <c r="N101" s="65"/>
      <c r="O101" s="65"/>
      <c r="P101" s="24"/>
      <c r="Q101" s="24"/>
      <c r="R101" s="27"/>
      <c r="S101" s="61">
        <f>COUNTIF(C101:I101,"&gt;1")</f>
        <v>6</v>
      </c>
    </row>
    <row r="102" spans="1:19" ht="15" x14ac:dyDescent="0.25">
      <c r="A102" s="78">
        <v>13</v>
      </c>
      <c r="B102" s="102" t="s">
        <v>48</v>
      </c>
      <c r="C102" s="23">
        <f>127+150</f>
        <v>277</v>
      </c>
      <c r="D102" s="57">
        <v>312</v>
      </c>
      <c r="E102" s="57">
        <f>155+157</f>
        <v>312</v>
      </c>
      <c r="F102" s="57">
        <f>130+168</f>
        <v>298</v>
      </c>
      <c r="G102" s="57">
        <v>221</v>
      </c>
      <c r="H102" s="154">
        <f>111+110</f>
        <v>221</v>
      </c>
      <c r="I102" s="42"/>
      <c r="J102" s="27">
        <f>AVERAGE(C102:I102)/2</f>
        <v>136.75</v>
      </c>
      <c r="K102" s="66"/>
      <c r="L102" s="66"/>
      <c r="M102" s="66"/>
      <c r="N102" s="66"/>
      <c r="O102" s="66"/>
      <c r="P102" s="57"/>
      <c r="Q102" s="57"/>
      <c r="R102" s="27"/>
      <c r="S102" s="61">
        <f>COUNTIF(C102:I102,"&gt;1")</f>
        <v>6</v>
      </c>
    </row>
    <row r="103" spans="1:19" ht="15" x14ac:dyDescent="0.25">
      <c r="A103" s="78">
        <v>13</v>
      </c>
      <c r="B103" s="104" t="s">
        <v>50</v>
      </c>
      <c r="C103" s="23">
        <f>142+130</f>
        <v>272</v>
      </c>
      <c r="D103" s="57">
        <v>226</v>
      </c>
      <c r="E103" s="57"/>
      <c r="F103" s="57">
        <f>111+110</f>
        <v>221</v>
      </c>
      <c r="G103" s="57">
        <v>273</v>
      </c>
      <c r="H103" s="154">
        <f>126+147</f>
        <v>273</v>
      </c>
      <c r="I103" s="42">
        <f>139+125</f>
        <v>264</v>
      </c>
      <c r="J103" s="27">
        <f>AVERAGE(C103:I103)/2</f>
        <v>127.41666666666667</v>
      </c>
      <c r="K103" s="66"/>
      <c r="L103" s="66"/>
      <c r="M103" s="66"/>
      <c r="N103" s="66"/>
      <c r="O103" s="66"/>
      <c r="P103" s="57"/>
      <c r="Q103" s="57"/>
      <c r="R103" s="27"/>
      <c r="S103" s="61">
        <f>COUNTIF(C103:I103,"&gt;1")</f>
        <v>6</v>
      </c>
    </row>
    <row r="104" spans="1:19" ht="15" x14ac:dyDescent="0.25">
      <c r="A104" s="78">
        <v>13</v>
      </c>
      <c r="B104" s="104" t="s">
        <v>40</v>
      </c>
      <c r="C104" s="23">
        <f>134+127</f>
        <v>261</v>
      </c>
      <c r="D104" s="57"/>
      <c r="E104" s="57">
        <f>113+114</f>
        <v>227</v>
      </c>
      <c r="F104" s="57">
        <f>127+100</f>
        <v>227</v>
      </c>
      <c r="G104" s="57">
        <v>240</v>
      </c>
      <c r="H104" s="154">
        <f>116+124</f>
        <v>240</v>
      </c>
      <c r="I104" s="42">
        <f>117+154</f>
        <v>271</v>
      </c>
      <c r="J104" s="27">
        <f>AVERAGE(C104:I104)/2</f>
        <v>122.16666666666667</v>
      </c>
      <c r="K104" s="66"/>
      <c r="L104" s="66"/>
      <c r="M104" s="66"/>
      <c r="N104" s="66"/>
      <c r="O104" s="66"/>
      <c r="P104" s="57"/>
      <c r="Q104" s="57"/>
      <c r="R104" s="27"/>
      <c r="S104" s="61">
        <f>COUNTIF(C104:I104,"&gt;1")</f>
        <v>6</v>
      </c>
    </row>
    <row r="105" spans="1:19" ht="15.75" thickBot="1" x14ac:dyDescent="0.3">
      <c r="A105" s="79">
        <v>13</v>
      </c>
      <c r="B105" s="85"/>
      <c r="C105" s="70">
        <v>0</v>
      </c>
      <c r="D105" s="12"/>
      <c r="E105" s="12"/>
      <c r="F105" s="12"/>
      <c r="G105" s="12"/>
      <c r="H105" s="155"/>
      <c r="I105" s="43"/>
      <c r="J105" s="27">
        <f>AVERAGE(C105:I105)/2</f>
        <v>0</v>
      </c>
      <c r="K105" s="66"/>
      <c r="L105" s="66"/>
      <c r="M105" s="66"/>
      <c r="N105" s="66"/>
      <c r="O105" s="66"/>
      <c r="P105" s="57"/>
      <c r="Q105" s="57"/>
      <c r="R105" s="27"/>
      <c r="S105" s="61">
        <f>COUNTIF(C105:I105,"&gt;1")</f>
        <v>0</v>
      </c>
    </row>
    <row r="106" spans="1:19" x14ac:dyDescent="0.2">
      <c r="A106" s="5"/>
      <c r="B106" s="8"/>
      <c r="C106" s="17"/>
      <c r="D106" s="17"/>
      <c r="E106" s="17"/>
      <c r="F106" s="17"/>
      <c r="G106" s="17"/>
      <c r="H106" s="17"/>
      <c r="I106" s="17"/>
      <c r="J106" s="60"/>
      <c r="K106" s="67"/>
      <c r="L106" s="67"/>
      <c r="M106" s="67"/>
      <c r="N106" s="67"/>
      <c r="O106" s="67"/>
      <c r="P106" s="17"/>
      <c r="Q106" s="17"/>
      <c r="R106" s="60">
        <f>SUM(C101:I105)/(S106*2)</f>
        <v>134.29166666666666</v>
      </c>
      <c r="S106" s="61">
        <f>SUM(S101:S105)</f>
        <v>24</v>
      </c>
    </row>
    <row r="107" spans="1:19" ht="13.5" thickBot="1" x14ac:dyDescent="0.25">
      <c r="A107" s="5"/>
      <c r="B107" s="8"/>
      <c r="C107" s="17"/>
      <c r="D107" s="6"/>
      <c r="E107" s="6"/>
      <c r="F107" s="6"/>
      <c r="G107" s="6"/>
      <c r="H107" s="6"/>
      <c r="I107" s="6"/>
      <c r="J107" s="4"/>
      <c r="K107" s="68"/>
      <c r="L107" s="68"/>
      <c r="M107" s="68"/>
      <c r="N107" s="68"/>
      <c r="O107" s="68"/>
      <c r="P107" s="6"/>
      <c r="Q107" s="6"/>
      <c r="R107" s="4"/>
    </row>
    <row r="108" spans="1:19" ht="13.5" thickBot="1" x14ac:dyDescent="0.25">
      <c r="A108" s="77">
        <v>14</v>
      </c>
      <c r="B108" s="105" t="s">
        <v>57</v>
      </c>
      <c r="C108" s="73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5"/>
      <c r="R108" s="25"/>
    </row>
    <row r="109" spans="1:19" ht="15" x14ac:dyDescent="0.25">
      <c r="A109" s="78">
        <v>14</v>
      </c>
      <c r="B109" s="129" t="s">
        <v>46</v>
      </c>
      <c r="C109" s="72">
        <f>82+119</f>
        <v>201</v>
      </c>
      <c r="D109" s="24">
        <f>111+113</f>
        <v>224</v>
      </c>
      <c r="E109" s="24">
        <f>116+143</f>
        <v>259</v>
      </c>
      <c r="F109" s="24">
        <f>141+123</f>
        <v>264</v>
      </c>
      <c r="G109" s="24">
        <f>111+125</f>
        <v>236</v>
      </c>
      <c r="H109" s="153">
        <f>138+166</f>
        <v>304</v>
      </c>
      <c r="I109" s="71"/>
      <c r="J109" s="27">
        <f>AVERAGE(C109:I109)/2</f>
        <v>124</v>
      </c>
      <c r="K109" s="65"/>
      <c r="L109" s="65"/>
      <c r="M109" s="65"/>
      <c r="N109" s="65"/>
      <c r="O109" s="65"/>
      <c r="P109" s="24"/>
      <c r="Q109" s="24"/>
      <c r="R109" s="27"/>
      <c r="S109" s="61">
        <f>COUNTIF(C109:I109,"&gt;1")</f>
        <v>6</v>
      </c>
    </row>
    <row r="110" spans="1:19" ht="15" x14ac:dyDescent="0.25">
      <c r="A110" s="78">
        <v>14</v>
      </c>
      <c r="B110" s="130" t="s">
        <v>60</v>
      </c>
      <c r="C110" s="23">
        <f>112+95</f>
        <v>207</v>
      </c>
      <c r="D110" s="57">
        <f>121+102</f>
        <v>223</v>
      </c>
      <c r="E110" s="57">
        <f>135+96</f>
        <v>231</v>
      </c>
      <c r="F110" s="57">
        <f>98+105</f>
        <v>203</v>
      </c>
      <c r="G110" s="57">
        <f>153+118</f>
        <v>271</v>
      </c>
      <c r="H110" s="154">
        <f>162+146</f>
        <v>308</v>
      </c>
      <c r="I110" s="42"/>
      <c r="J110" s="27">
        <f>AVERAGE(C110:I110)/2</f>
        <v>120.25</v>
      </c>
      <c r="K110" s="66"/>
      <c r="L110" s="66"/>
      <c r="M110" s="66"/>
      <c r="N110" s="66"/>
      <c r="O110" s="66"/>
      <c r="P110" s="57"/>
      <c r="Q110" s="57"/>
      <c r="R110" s="27"/>
      <c r="S110" s="61">
        <f>COUNTIF(C110:I110,"&gt;1")</f>
        <v>6</v>
      </c>
    </row>
    <row r="111" spans="1:19" ht="15" x14ac:dyDescent="0.25">
      <c r="A111" s="78">
        <v>14</v>
      </c>
      <c r="B111" s="130" t="s">
        <v>93</v>
      </c>
      <c r="C111" s="23">
        <f>77+95</f>
        <v>172</v>
      </c>
      <c r="D111" s="57">
        <f>134+83</f>
        <v>217</v>
      </c>
      <c r="E111" s="57">
        <f>100+103</f>
        <v>203</v>
      </c>
      <c r="F111" s="57">
        <f>95+76</f>
        <v>171</v>
      </c>
      <c r="G111" s="57">
        <f>129+147</f>
        <v>276</v>
      </c>
      <c r="H111" s="154">
        <f>71+73</f>
        <v>144</v>
      </c>
      <c r="I111" s="42"/>
      <c r="J111" s="27">
        <f>AVERAGE(C111:I111)/2</f>
        <v>98.583333333333329</v>
      </c>
      <c r="K111" s="66"/>
      <c r="L111" s="66"/>
      <c r="M111" s="66"/>
      <c r="N111" s="66"/>
      <c r="O111" s="66"/>
      <c r="P111" s="57"/>
      <c r="Q111" s="57"/>
      <c r="R111" s="27"/>
      <c r="S111" s="61">
        <f>COUNTIF(C111:I111,"&gt;1")</f>
        <v>6</v>
      </c>
    </row>
    <row r="112" spans="1:19" ht="15" x14ac:dyDescent="0.25">
      <c r="A112" s="78">
        <v>14</v>
      </c>
      <c r="B112" s="110"/>
      <c r="C112" s="111">
        <v>0</v>
      </c>
      <c r="D112" s="57"/>
      <c r="E112" s="57"/>
      <c r="F112" s="57"/>
      <c r="G112" s="57"/>
      <c r="H112" s="154"/>
      <c r="I112" s="42"/>
      <c r="J112" s="27">
        <f>AVERAGE(C112:I112)/2</f>
        <v>0</v>
      </c>
      <c r="K112" s="66"/>
      <c r="L112" s="66"/>
      <c r="M112" s="66"/>
      <c r="N112" s="66"/>
      <c r="O112" s="66"/>
      <c r="P112" s="57"/>
      <c r="Q112" s="57"/>
      <c r="R112" s="27"/>
      <c r="S112" s="61">
        <f>COUNTIF(C112:I112,"&gt;1")</f>
        <v>0</v>
      </c>
    </row>
    <row r="113" spans="1:22" ht="15.75" thickBot="1" x14ac:dyDescent="0.3">
      <c r="A113" s="79">
        <v>14</v>
      </c>
      <c r="B113" s="85" t="s">
        <v>15</v>
      </c>
      <c r="C113" s="70">
        <v>0</v>
      </c>
      <c r="D113" s="12"/>
      <c r="E113" s="12"/>
      <c r="F113" s="12"/>
      <c r="G113" s="12"/>
      <c r="H113" s="155"/>
      <c r="I113" s="43"/>
      <c r="J113" s="27">
        <f>AVERAGE(C113:I113)/2</f>
        <v>0</v>
      </c>
      <c r="K113" s="66"/>
      <c r="L113" s="66"/>
      <c r="M113" s="66"/>
      <c r="N113" s="66"/>
      <c r="O113" s="66"/>
      <c r="P113" s="57"/>
      <c r="Q113" s="57"/>
      <c r="R113" s="27"/>
      <c r="S113" s="61">
        <f>COUNTIF(C113:I113,"&gt;1")</f>
        <v>0</v>
      </c>
    </row>
    <row r="114" spans="1:22" x14ac:dyDescent="0.2">
      <c r="A114" s="5"/>
      <c r="B114" s="8"/>
      <c r="C114" s="17"/>
      <c r="D114" s="17"/>
      <c r="E114" s="17"/>
      <c r="F114" s="17"/>
      <c r="G114" s="17"/>
      <c r="H114" s="17"/>
      <c r="I114" s="17"/>
      <c r="J114" s="60"/>
      <c r="K114" s="67"/>
      <c r="L114" s="67"/>
      <c r="M114" s="67"/>
      <c r="N114" s="67"/>
      <c r="O114" s="67"/>
      <c r="P114" s="17"/>
      <c r="Q114" s="17"/>
      <c r="R114" s="60">
        <f>SUM(C109:I113)/(S114*2)</f>
        <v>114.27777777777777</v>
      </c>
      <c r="S114" s="61">
        <f>SUM(S109:S113)</f>
        <v>18</v>
      </c>
    </row>
    <row r="115" spans="1:22" ht="13.5" thickBot="1" x14ac:dyDescent="0.25">
      <c r="A115" s="5"/>
      <c r="B115" s="8"/>
      <c r="C115" s="17"/>
      <c r="D115" s="6"/>
      <c r="E115" s="6"/>
      <c r="F115" s="6"/>
      <c r="G115" s="6"/>
      <c r="H115" s="6"/>
      <c r="I115" s="6"/>
      <c r="J115" s="4"/>
      <c r="K115" s="68"/>
      <c r="L115" s="68"/>
      <c r="M115" s="68"/>
      <c r="N115" s="68"/>
      <c r="O115" s="68"/>
      <c r="P115" s="6"/>
      <c r="Q115" s="6"/>
      <c r="R115" s="4"/>
    </row>
    <row r="116" spans="1:22" ht="13.5" thickBot="1" x14ac:dyDescent="0.25">
      <c r="A116" s="77">
        <v>15</v>
      </c>
      <c r="B116" s="105" t="s">
        <v>58</v>
      </c>
      <c r="C116" s="73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5"/>
      <c r="R116" s="25"/>
      <c r="S116" s="61">
        <f>COUNTIF(K116:Q116,"&gt;1")</f>
        <v>0</v>
      </c>
    </row>
    <row r="117" spans="1:22" ht="15" x14ac:dyDescent="0.25">
      <c r="A117" s="78">
        <v>15</v>
      </c>
      <c r="B117" s="129" t="s">
        <v>44</v>
      </c>
      <c r="C117" s="72">
        <f>132+107</f>
        <v>239</v>
      </c>
      <c r="D117" s="24">
        <f>133+156</f>
        <v>289</v>
      </c>
      <c r="E117" s="24">
        <f>141+147</f>
        <v>288</v>
      </c>
      <c r="F117" s="24">
        <f>193+152</f>
        <v>345</v>
      </c>
      <c r="G117" s="24">
        <f>134+142</f>
        <v>276</v>
      </c>
      <c r="H117" s="153">
        <f>125+103</f>
        <v>228</v>
      </c>
      <c r="I117" s="71"/>
      <c r="J117" s="27">
        <f>AVERAGE(C117:I117)/2</f>
        <v>138.75</v>
      </c>
      <c r="K117" s="65"/>
      <c r="L117" s="65"/>
      <c r="M117" s="65"/>
      <c r="N117" s="65"/>
      <c r="O117" s="65"/>
      <c r="P117" s="24"/>
      <c r="Q117" s="24"/>
      <c r="R117" s="27"/>
      <c r="S117" s="61">
        <f>COUNTIF(C117:I117,"&gt;1")</f>
        <v>6</v>
      </c>
    </row>
    <row r="118" spans="1:22" ht="15" x14ac:dyDescent="0.25">
      <c r="A118" s="78">
        <v>15</v>
      </c>
      <c r="B118" s="130" t="s">
        <v>94</v>
      </c>
      <c r="C118" s="23">
        <f>89+85</f>
        <v>174</v>
      </c>
      <c r="D118" s="57">
        <f>136+113</f>
        <v>249</v>
      </c>
      <c r="E118" s="57">
        <f>115+120</f>
        <v>235</v>
      </c>
      <c r="F118" s="57">
        <f>97+122</f>
        <v>219</v>
      </c>
      <c r="G118" s="57">
        <f>125+89</f>
        <v>214</v>
      </c>
      <c r="H118" s="154">
        <f>92+81</f>
        <v>173</v>
      </c>
      <c r="I118" s="42"/>
      <c r="J118" s="27">
        <f>AVERAGE(C118:I118)/2</f>
        <v>105.33333333333333</v>
      </c>
      <c r="K118" s="66"/>
      <c r="L118" s="66"/>
      <c r="M118" s="66"/>
      <c r="N118" s="66"/>
      <c r="O118" s="66"/>
      <c r="P118" s="57"/>
      <c r="Q118" s="57"/>
      <c r="R118" s="27"/>
      <c r="S118" s="61">
        <f>COUNTIF(C118:I118,"&gt;1")</f>
        <v>6</v>
      </c>
    </row>
    <row r="119" spans="1:22" ht="15" x14ac:dyDescent="0.25">
      <c r="A119" s="78">
        <v>15</v>
      </c>
      <c r="B119" s="130" t="s">
        <v>30</v>
      </c>
      <c r="C119" s="23">
        <f>136+101</f>
        <v>237</v>
      </c>
      <c r="D119" s="57">
        <f>144+122</f>
        <v>266</v>
      </c>
      <c r="E119" s="57">
        <f>99+108</f>
        <v>207</v>
      </c>
      <c r="F119" s="57">
        <f>92+113</f>
        <v>205</v>
      </c>
      <c r="G119" s="57">
        <f>153+143</f>
        <v>296</v>
      </c>
      <c r="H119" s="154">
        <f>129+87</f>
        <v>216</v>
      </c>
      <c r="I119" s="42"/>
      <c r="J119" s="27">
        <f>AVERAGE(C119:I119)/2</f>
        <v>118.91666666666667</v>
      </c>
      <c r="K119" s="66"/>
      <c r="L119" s="66"/>
      <c r="M119" s="66"/>
      <c r="N119" s="66"/>
      <c r="O119" s="66"/>
      <c r="P119" s="57"/>
      <c r="Q119" s="57"/>
      <c r="R119" s="27"/>
      <c r="S119" s="61">
        <f>COUNTIF(C119:I119,"&gt;1")</f>
        <v>6</v>
      </c>
    </row>
    <row r="120" spans="1:22" ht="15" x14ac:dyDescent="0.25">
      <c r="A120" s="78">
        <v>15</v>
      </c>
      <c r="B120" s="110"/>
      <c r="C120" s="23">
        <v>0</v>
      </c>
      <c r="D120" s="57"/>
      <c r="E120" s="57"/>
      <c r="F120" s="57"/>
      <c r="G120" s="57"/>
      <c r="H120" s="154"/>
      <c r="I120" s="42"/>
      <c r="J120" s="27">
        <f>AVERAGE(C120:I120)/2</f>
        <v>0</v>
      </c>
      <c r="K120" s="66"/>
      <c r="L120" s="66"/>
      <c r="M120" s="66"/>
      <c r="N120" s="66"/>
      <c r="O120" s="66"/>
      <c r="P120" s="57"/>
      <c r="Q120" s="57"/>
      <c r="R120" s="27"/>
      <c r="S120" s="61">
        <f>COUNTIF(C120:I120,"&gt;1")</f>
        <v>0</v>
      </c>
    </row>
    <row r="121" spans="1:22" ht="15.75" thickBot="1" x14ac:dyDescent="0.3">
      <c r="A121" s="79">
        <v>15</v>
      </c>
      <c r="B121" s="85" t="s">
        <v>15</v>
      </c>
      <c r="C121" s="70">
        <v>0</v>
      </c>
      <c r="D121" s="12"/>
      <c r="E121" s="12"/>
      <c r="F121" s="12"/>
      <c r="G121" s="12"/>
      <c r="H121" s="155"/>
      <c r="I121" s="43"/>
      <c r="J121" s="27">
        <f>AVERAGE(C121:I121)/2</f>
        <v>0</v>
      </c>
      <c r="K121" s="66"/>
      <c r="L121" s="66"/>
      <c r="M121" s="66"/>
      <c r="N121" s="66"/>
      <c r="O121" s="66"/>
      <c r="P121" s="57"/>
      <c r="Q121" s="57"/>
      <c r="R121" s="27"/>
      <c r="S121" s="61">
        <f>COUNTIF(C121:I121,"&gt;1")</f>
        <v>0</v>
      </c>
    </row>
    <row r="122" spans="1:22" x14ac:dyDescent="0.2">
      <c r="A122" s="5"/>
      <c r="B122" s="8"/>
      <c r="C122" s="17"/>
      <c r="D122" s="17"/>
      <c r="E122" s="17"/>
      <c r="F122" s="17"/>
      <c r="G122" s="17"/>
      <c r="H122" s="17"/>
      <c r="I122" s="17"/>
      <c r="J122" s="60"/>
      <c r="K122" s="67"/>
      <c r="L122" s="67"/>
      <c r="M122" s="67"/>
      <c r="N122" s="67"/>
      <c r="O122" s="67"/>
      <c r="P122" s="17"/>
      <c r="Q122" s="17"/>
      <c r="R122" s="60">
        <f>SUM(C117:I121)/(S122*2)</f>
        <v>121</v>
      </c>
      <c r="S122" s="61">
        <f>SUM(S117:S121)</f>
        <v>18</v>
      </c>
    </row>
    <row r="123" spans="1:22" ht="13.5" thickBot="1" x14ac:dyDescent="0.25">
      <c r="A123" s="5"/>
      <c r="B123" s="8"/>
      <c r="C123" s="17"/>
      <c r="D123" s="6"/>
      <c r="E123" s="6"/>
      <c r="F123" s="6"/>
      <c r="G123" s="6"/>
      <c r="H123" s="6"/>
      <c r="I123" s="6"/>
      <c r="J123" s="4"/>
      <c r="K123" s="68"/>
      <c r="L123" s="68"/>
      <c r="M123" s="68"/>
      <c r="N123" s="68"/>
      <c r="O123" s="68"/>
      <c r="P123" s="6"/>
      <c r="Q123" s="6"/>
      <c r="R123" s="4"/>
      <c r="T123" s="6"/>
      <c r="U123" s="6"/>
      <c r="V123" s="6"/>
    </row>
    <row r="124" spans="1:22" ht="13.5" thickBot="1" x14ac:dyDescent="0.25">
      <c r="A124" s="77">
        <f>A116+1</f>
        <v>16</v>
      </c>
      <c r="B124" s="105" t="s">
        <v>79</v>
      </c>
      <c r="C124" s="73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5"/>
      <c r="R124" s="25"/>
      <c r="S124" s="61">
        <f>COUNTIF(K124:Q124,"&gt;1")</f>
        <v>0</v>
      </c>
    </row>
    <row r="125" spans="1:22" ht="15" x14ac:dyDescent="0.25">
      <c r="A125" s="78">
        <v>16</v>
      </c>
      <c r="B125" s="129" t="s">
        <v>45</v>
      </c>
      <c r="C125" s="72">
        <f>124+107</f>
        <v>231</v>
      </c>
      <c r="D125" s="24">
        <f>118+100</f>
        <v>218</v>
      </c>
      <c r="E125" s="24">
        <f>124+136</f>
        <v>260</v>
      </c>
      <c r="F125" s="24">
        <f>101+97</f>
        <v>198</v>
      </c>
      <c r="G125" s="24">
        <f>130+100</f>
        <v>230</v>
      </c>
      <c r="H125" s="153"/>
      <c r="I125" s="71"/>
      <c r="J125" s="27">
        <f>AVERAGE(C125:I125)/2</f>
        <v>113.7</v>
      </c>
      <c r="K125" s="65"/>
      <c r="L125" s="65"/>
      <c r="M125" s="65"/>
      <c r="N125" s="65"/>
      <c r="O125" s="65"/>
      <c r="P125" s="24"/>
      <c r="Q125" s="24"/>
      <c r="R125" s="27"/>
      <c r="S125" s="61">
        <f>COUNTIF(C125:I125,"&gt;1")</f>
        <v>5</v>
      </c>
    </row>
    <row r="126" spans="1:22" ht="15" x14ac:dyDescent="0.25">
      <c r="A126" s="78">
        <v>16</v>
      </c>
      <c r="B126" s="130" t="s">
        <v>59</v>
      </c>
      <c r="C126" s="23">
        <f>73+88</f>
        <v>161</v>
      </c>
      <c r="D126" s="57">
        <f>103+89</f>
        <v>192</v>
      </c>
      <c r="E126" s="57">
        <f>75+64</f>
        <v>139</v>
      </c>
      <c r="F126" s="57">
        <f>107+127</f>
        <v>234</v>
      </c>
      <c r="G126" s="57">
        <f>113+104</f>
        <v>217</v>
      </c>
      <c r="H126" s="154"/>
      <c r="I126" s="42"/>
      <c r="J126" s="27">
        <f>AVERAGE(C126:I126)/2</f>
        <v>94.3</v>
      </c>
      <c r="K126" s="66"/>
      <c r="L126" s="66"/>
      <c r="M126" s="66"/>
      <c r="N126" s="66"/>
      <c r="O126" s="66"/>
      <c r="P126" s="57"/>
      <c r="Q126" s="57"/>
      <c r="R126" s="27"/>
      <c r="S126" s="61">
        <f>COUNTIF(C126:I126,"&gt;1")</f>
        <v>5</v>
      </c>
    </row>
    <row r="127" spans="1:22" ht="15" x14ac:dyDescent="0.25">
      <c r="A127" s="78">
        <v>16</v>
      </c>
      <c r="B127" s="130" t="s">
        <v>56</v>
      </c>
      <c r="C127" s="23">
        <f>112+115</f>
        <v>227</v>
      </c>
      <c r="D127" s="57">
        <f>152+131</f>
        <v>283</v>
      </c>
      <c r="E127" s="57">
        <f>121+108</f>
        <v>229</v>
      </c>
      <c r="F127" s="57">
        <f>107+139</f>
        <v>246</v>
      </c>
      <c r="G127" s="57">
        <f>115+120</f>
        <v>235</v>
      </c>
      <c r="H127" s="154"/>
      <c r="I127" s="42"/>
      <c r="J127" s="27">
        <f>AVERAGE(C127:I127)/2</f>
        <v>122</v>
      </c>
      <c r="K127" s="66"/>
      <c r="L127" s="66"/>
      <c r="M127" s="66"/>
      <c r="N127" s="66"/>
      <c r="O127" s="66"/>
      <c r="P127" s="57"/>
      <c r="Q127" s="57"/>
      <c r="R127" s="27"/>
      <c r="S127" s="61">
        <f>COUNTIF(C127:I127,"&gt;1")</f>
        <v>5</v>
      </c>
    </row>
    <row r="128" spans="1:22" ht="15" x14ac:dyDescent="0.25">
      <c r="A128" s="78">
        <v>16</v>
      </c>
      <c r="B128" s="102"/>
      <c r="C128" s="23">
        <v>0</v>
      </c>
      <c r="D128" s="57"/>
      <c r="E128" s="57"/>
      <c r="F128" s="57"/>
      <c r="G128" s="57"/>
      <c r="H128" s="154"/>
      <c r="I128" s="42"/>
      <c r="J128" s="27">
        <f>AVERAGE(C128:I128)/2</f>
        <v>0</v>
      </c>
      <c r="K128" s="66"/>
      <c r="L128" s="66"/>
      <c r="M128" s="66"/>
      <c r="N128" s="66"/>
      <c r="O128" s="66"/>
      <c r="P128" s="57"/>
      <c r="Q128" s="57"/>
      <c r="R128" s="27"/>
      <c r="S128" s="61">
        <f>COUNTIF(C128:I128,"&gt;1")</f>
        <v>0</v>
      </c>
    </row>
    <row r="129" spans="1:20" ht="15.75" thickBot="1" x14ac:dyDescent="0.3">
      <c r="A129" s="79">
        <v>16</v>
      </c>
      <c r="B129" s="100" t="s">
        <v>15</v>
      </c>
      <c r="C129" s="70">
        <v>0</v>
      </c>
      <c r="D129" s="12"/>
      <c r="E129" s="12"/>
      <c r="F129" s="12"/>
      <c r="G129" s="12"/>
      <c r="H129" s="155"/>
      <c r="I129" s="43"/>
      <c r="J129" s="27">
        <f>AVERAGE(C129:I129)/2</f>
        <v>0</v>
      </c>
      <c r="K129" s="66"/>
      <c r="L129" s="66"/>
      <c r="M129" s="66"/>
      <c r="N129" s="66"/>
      <c r="O129" s="66"/>
      <c r="P129" s="57"/>
      <c r="Q129" s="57"/>
      <c r="R129" s="27"/>
      <c r="S129" s="61">
        <f>COUNTIF(C129:I129,"&gt;1")</f>
        <v>0</v>
      </c>
    </row>
    <row r="130" spans="1:20" x14ac:dyDescent="0.2">
      <c r="A130" s="5"/>
      <c r="B130" s="8"/>
      <c r="C130" s="17"/>
      <c r="D130" s="17"/>
      <c r="E130" s="17"/>
      <c r="F130" s="17"/>
      <c r="G130" s="17"/>
      <c r="H130" s="17"/>
      <c r="I130" s="17"/>
      <c r="J130" s="60"/>
      <c r="K130" s="67"/>
      <c r="L130" s="67"/>
      <c r="M130" s="67"/>
      <c r="N130" s="67"/>
      <c r="O130" s="67"/>
      <c r="P130" s="17"/>
      <c r="Q130" s="17"/>
      <c r="R130" s="60">
        <f>SUM(C125:I129)/(S130*2)</f>
        <v>110</v>
      </c>
      <c r="S130" s="61">
        <f>SUM(S125:S129)</f>
        <v>15</v>
      </c>
    </row>
    <row r="131" spans="1:20" ht="13.5" thickBot="1" x14ac:dyDescent="0.25">
      <c r="A131" s="5"/>
      <c r="B131" s="8"/>
      <c r="C131" s="17"/>
      <c r="D131" s="6"/>
      <c r="E131" s="6"/>
      <c r="F131" s="6"/>
      <c r="G131" s="6"/>
      <c r="H131" s="6"/>
      <c r="I131" s="6"/>
      <c r="J131" s="6"/>
      <c r="K131" s="68"/>
      <c r="L131" s="68"/>
      <c r="M131" s="68"/>
      <c r="N131" s="68"/>
      <c r="O131" s="68"/>
      <c r="P131" s="6"/>
      <c r="Q131" s="6"/>
      <c r="R131" s="4"/>
    </row>
    <row r="132" spans="1:20" ht="13.5" thickBot="1" x14ac:dyDescent="0.25">
      <c r="A132" s="77">
        <v>17</v>
      </c>
      <c r="B132" s="105" t="s">
        <v>80</v>
      </c>
      <c r="C132" s="73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5"/>
      <c r="R132" s="25"/>
      <c r="S132" s="61">
        <f>COUNTIF(K132:Q132,"&gt;1")</f>
        <v>0</v>
      </c>
    </row>
    <row r="133" spans="1:20" ht="15" x14ac:dyDescent="0.25">
      <c r="A133" s="78">
        <v>17</v>
      </c>
      <c r="B133" s="129" t="s">
        <v>104</v>
      </c>
      <c r="C133" s="72">
        <f>117+120</f>
        <v>237</v>
      </c>
      <c r="D133" s="24">
        <f>119+100</f>
        <v>219</v>
      </c>
      <c r="E133" s="24">
        <f>95+107</f>
        <v>202</v>
      </c>
      <c r="F133" s="24">
        <f>106+112</f>
        <v>218</v>
      </c>
      <c r="G133" s="24">
        <f>99+144</f>
        <v>243</v>
      </c>
      <c r="H133" s="153"/>
      <c r="I133" s="71"/>
      <c r="J133" s="27">
        <f>AVERAGE(C133:I133)/2</f>
        <v>111.9</v>
      </c>
      <c r="K133" s="65"/>
      <c r="L133" s="65"/>
      <c r="M133" s="65"/>
      <c r="N133" s="65"/>
      <c r="O133" s="65"/>
      <c r="P133" s="24"/>
      <c r="Q133" s="24"/>
      <c r="R133" s="27"/>
      <c r="S133" s="61">
        <f>COUNTIF(C133:I133,"&gt;1")</f>
        <v>5</v>
      </c>
      <c r="T133" s="6"/>
    </row>
    <row r="134" spans="1:20" ht="15" x14ac:dyDescent="0.25">
      <c r="A134" s="78">
        <v>17</v>
      </c>
      <c r="B134" s="130" t="s">
        <v>105</v>
      </c>
      <c r="C134" s="23">
        <f>117+148</f>
        <v>265</v>
      </c>
      <c r="D134" s="57">
        <f>108+127</f>
        <v>235</v>
      </c>
      <c r="E134" s="57">
        <f>109+164</f>
        <v>273</v>
      </c>
      <c r="F134" s="57">
        <f>105+135</f>
        <v>240</v>
      </c>
      <c r="G134" s="57">
        <f>138+139</f>
        <v>277</v>
      </c>
      <c r="H134" s="154"/>
      <c r="I134" s="42"/>
      <c r="J134" s="27">
        <f>AVERAGE(C134:I134)/2</f>
        <v>129</v>
      </c>
      <c r="K134" s="66"/>
      <c r="L134" s="66"/>
      <c r="M134" s="66"/>
      <c r="N134" s="66"/>
      <c r="O134" s="66"/>
      <c r="P134" s="57"/>
      <c r="Q134" s="57"/>
      <c r="R134" s="27"/>
      <c r="S134" s="61">
        <f>COUNTIF(C134:I134,"&gt;1")</f>
        <v>5</v>
      </c>
      <c r="T134" s="6"/>
    </row>
    <row r="135" spans="1:20" ht="15" x14ac:dyDescent="0.25">
      <c r="A135" s="78">
        <v>17</v>
      </c>
      <c r="B135" s="130" t="s">
        <v>106</v>
      </c>
      <c r="C135" s="23">
        <f>145+181</f>
        <v>326</v>
      </c>
      <c r="D135" s="57">
        <f>114+118</f>
        <v>232</v>
      </c>
      <c r="E135" s="57">
        <f>135+135</f>
        <v>270</v>
      </c>
      <c r="F135" s="57">
        <f>109+170</f>
        <v>279</v>
      </c>
      <c r="G135" s="57">
        <f>135+119</f>
        <v>254</v>
      </c>
      <c r="H135" s="154"/>
      <c r="I135" s="42"/>
      <c r="J135" s="27">
        <f>AVERAGE(C135:I135)/2</f>
        <v>136.1</v>
      </c>
      <c r="K135" s="66"/>
      <c r="L135" s="66"/>
      <c r="M135" s="66"/>
      <c r="N135" s="66"/>
      <c r="O135" s="66"/>
      <c r="P135" s="57"/>
      <c r="Q135" s="57"/>
      <c r="R135" s="27"/>
      <c r="S135" s="61">
        <f>COUNTIF(C135:I135,"&gt;1")</f>
        <v>5</v>
      </c>
      <c r="T135" s="6"/>
    </row>
    <row r="136" spans="1:20" ht="15" x14ac:dyDescent="0.25">
      <c r="A136" s="78">
        <v>17</v>
      </c>
      <c r="B136" s="102"/>
      <c r="C136" s="23">
        <v>0</v>
      </c>
      <c r="D136" s="57"/>
      <c r="E136" s="57"/>
      <c r="F136" s="57"/>
      <c r="G136" s="57"/>
      <c r="H136" s="154"/>
      <c r="I136" s="42"/>
      <c r="J136" s="27">
        <f>AVERAGE(C136:I136)/2</f>
        <v>0</v>
      </c>
      <c r="K136" s="66"/>
      <c r="L136" s="66"/>
      <c r="M136" s="66"/>
      <c r="N136" s="66"/>
      <c r="O136" s="66"/>
      <c r="P136" s="57"/>
      <c r="Q136" s="57"/>
      <c r="R136" s="27"/>
      <c r="S136" s="61">
        <f>COUNTIF(C136:I136,"&gt;1")</f>
        <v>0</v>
      </c>
      <c r="T136" s="6"/>
    </row>
    <row r="137" spans="1:20" ht="15.75" thickBot="1" x14ac:dyDescent="0.3">
      <c r="A137" s="79">
        <v>17</v>
      </c>
      <c r="B137" s="100" t="s">
        <v>15</v>
      </c>
      <c r="C137" s="70">
        <v>0</v>
      </c>
      <c r="D137" s="12"/>
      <c r="E137" s="12"/>
      <c r="F137" s="12"/>
      <c r="G137" s="12"/>
      <c r="H137" s="155"/>
      <c r="I137" s="43"/>
      <c r="J137" s="27">
        <f>AVERAGE(C137:I137)/2</f>
        <v>0</v>
      </c>
      <c r="K137" s="66"/>
      <c r="L137" s="66"/>
      <c r="M137" s="66"/>
      <c r="N137" s="66"/>
      <c r="O137" s="66"/>
      <c r="P137" s="57"/>
      <c r="Q137" s="57"/>
      <c r="R137" s="27"/>
      <c r="S137" s="61">
        <f>COUNTIF(C137:I137,"&gt;1")</f>
        <v>0</v>
      </c>
    </row>
    <row r="138" spans="1:20" x14ac:dyDescent="0.2">
      <c r="A138" s="5"/>
      <c r="B138" s="8"/>
      <c r="C138" s="17"/>
      <c r="D138" s="17"/>
      <c r="E138" s="17"/>
      <c r="F138" s="17"/>
      <c r="G138" s="17"/>
      <c r="H138" s="17"/>
      <c r="I138" s="17"/>
      <c r="J138" s="60"/>
      <c r="K138" s="67"/>
      <c r="L138" s="67"/>
      <c r="M138" s="67"/>
      <c r="N138" s="67"/>
      <c r="O138" s="67"/>
      <c r="P138" s="17"/>
      <c r="Q138" s="17"/>
      <c r="R138" s="60">
        <f>SUM(C133:I137)/(S138*2)</f>
        <v>125.66666666666667</v>
      </c>
      <c r="S138" s="61">
        <f>SUM(S133:S137)</f>
        <v>15</v>
      </c>
    </row>
    <row r="139" spans="1:20" ht="13.5" thickBot="1" x14ac:dyDescent="0.25">
      <c r="A139" s="5"/>
      <c r="B139" s="8"/>
      <c r="C139" s="17"/>
      <c r="D139" s="6"/>
      <c r="E139" s="6"/>
      <c r="F139" s="6"/>
      <c r="G139" s="6"/>
      <c r="H139" s="6"/>
      <c r="I139" s="6"/>
      <c r="J139" s="4"/>
      <c r="K139" s="68"/>
      <c r="L139" s="68"/>
      <c r="M139" s="68"/>
      <c r="N139" s="68"/>
      <c r="O139" s="68"/>
      <c r="P139" s="6"/>
      <c r="Q139" s="6"/>
      <c r="R139" s="4"/>
    </row>
    <row r="140" spans="1:20" ht="13.5" thickBot="1" x14ac:dyDescent="0.25">
      <c r="A140" s="77">
        <v>18</v>
      </c>
      <c r="B140" s="105" t="s">
        <v>41</v>
      </c>
      <c r="C140" s="73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5"/>
      <c r="R140" s="25"/>
      <c r="S140" s="61">
        <f>COUNTIF(K140:Q140,"&gt;1")</f>
        <v>0</v>
      </c>
    </row>
    <row r="141" spans="1:20" ht="15" x14ac:dyDescent="0.25">
      <c r="A141" s="78">
        <v>18</v>
      </c>
      <c r="B141" s="98" t="s">
        <v>42</v>
      </c>
      <c r="C141" s="72">
        <f>135+130</f>
        <v>265</v>
      </c>
      <c r="D141" s="24">
        <v>275</v>
      </c>
      <c r="E141" s="24">
        <f>120+157</f>
        <v>277</v>
      </c>
      <c r="F141" s="24">
        <f>118+99</f>
        <v>217</v>
      </c>
      <c r="G141" s="24">
        <f>170+153</f>
        <v>323</v>
      </c>
      <c r="H141" s="153">
        <f>116+140</f>
        <v>256</v>
      </c>
      <c r="I141" s="71">
        <f>102+111</f>
        <v>213</v>
      </c>
      <c r="J141" s="27">
        <f>AVERAGE(C141:I141)/2</f>
        <v>130.42857142857142</v>
      </c>
      <c r="K141" s="65"/>
      <c r="L141" s="65"/>
      <c r="M141" s="65"/>
      <c r="N141" s="65"/>
      <c r="O141" s="65"/>
      <c r="P141" s="24"/>
      <c r="Q141" s="24"/>
      <c r="R141" s="27"/>
      <c r="S141" s="61">
        <f>COUNTIF(C141:I141,"&gt;1")</f>
        <v>7</v>
      </c>
    </row>
    <row r="142" spans="1:20" ht="15" x14ac:dyDescent="0.25">
      <c r="A142" s="78">
        <v>18</v>
      </c>
      <c r="B142" s="103" t="s">
        <v>21</v>
      </c>
      <c r="C142" s="23">
        <v>0</v>
      </c>
      <c r="D142" s="57"/>
      <c r="E142" s="57"/>
      <c r="F142" s="57"/>
      <c r="G142" s="57"/>
      <c r="H142" s="154"/>
      <c r="I142" s="42"/>
      <c r="J142" s="27">
        <f>AVERAGE(C142:I142)/2</f>
        <v>0</v>
      </c>
      <c r="K142" s="66"/>
      <c r="L142" s="66"/>
      <c r="M142" s="66"/>
      <c r="N142" s="66"/>
      <c r="O142" s="66"/>
      <c r="P142" s="57"/>
      <c r="Q142" s="57"/>
      <c r="R142" s="27"/>
      <c r="S142" s="61">
        <f>COUNTIF(C142:I142,"&gt;1")</f>
        <v>0</v>
      </c>
    </row>
    <row r="143" spans="1:20" ht="15" x14ac:dyDescent="0.25">
      <c r="A143" s="78">
        <v>18</v>
      </c>
      <c r="B143" s="99" t="s">
        <v>43</v>
      </c>
      <c r="C143" s="23">
        <f>152+135</f>
        <v>287</v>
      </c>
      <c r="D143" s="57">
        <v>294</v>
      </c>
      <c r="E143" s="57">
        <f>123+164</f>
        <v>287</v>
      </c>
      <c r="F143" s="57">
        <f>103+165</f>
        <v>268</v>
      </c>
      <c r="G143" s="57">
        <f>131+154</f>
        <v>285</v>
      </c>
      <c r="H143" s="154">
        <f>160+145</f>
        <v>305</v>
      </c>
      <c r="I143" s="42">
        <f>158+153</f>
        <v>311</v>
      </c>
      <c r="J143" s="27">
        <f>AVERAGE(C143:I143)/2</f>
        <v>145.5</v>
      </c>
      <c r="K143" s="66"/>
      <c r="L143" s="66"/>
      <c r="M143" s="66"/>
      <c r="N143" s="66"/>
      <c r="O143" s="66"/>
      <c r="P143" s="57"/>
      <c r="Q143" s="57"/>
      <c r="R143" s="27"/>
      <c r="S143" s="61">
        <f>COUNTIF(C143:I143,"&gt;1")</f>
        <v>7</v>
      </c>
    </row>
    <row r="144" spans="1:20" ht="15" x14ac:dyDescent="0.25">
      <c r="A144" s="78">
        <v>18</v>
      </c>
      <c r="B144" s="99" t="s">
        <v>11</v>
      </c>
      <c r="C144" s="23">
        <f>177+169</f>
        <v>346</v>
      </c>
      <c r="D144" s="57">
        <v>339</v>
      </c>
      <c r="E144" s="57">
        <f>189+159</f>
        <v>348</v>
      </c>
      <c r="F144" s="57">
        <f>160+159</f>
        <v>319</v>
      </c>
      <c r="G144" s="57">
        <f>173+166</f>
        <v>339</v>
      </c>
      <c r="H144" s="154">
        <f>149+206</f>
        <v>355</v>
      </c>
      <c r="I144" s="42">
        <f>182+177</f>
        <v>359</v>
      </c>
      <c r="J144" s="27">
        <f>AVERAGE(C144:I144)/2</f>
        <v>171.78571428571428</v>
      </c>
      <c r="K144" s="66"/>
      <c r="L144" s="66"/>
      <c r="M144" s="66"/>
      <c r="N144" s="66"/>
      <c r="O144" s="66"/>
      <c r="P144" s="57"/>
      <c r="Q144" s="57"/>
      <c r="R144" s="27"/>
      <c r="S144" s="61">
        <f>COUNTIF(C144:I144,"&gt;1")</f>
        <v>7</v>
      </c>
    </row>
    <row r="145" spans="1:22" ht="15.75" thickBot="1" x14ac:dyDescent="0.3">
      <c r="A145" s="79">
        <v>18</v>
      </c>
      <c r="B145" s="116" t="s">
        <v>67</v>
      </c>
      <c r="C145" s="70">
        <f>162+110</f>
        <v>272</v>
      </c>
      <c r="D145" s="12">
        <v>266</v>
      </c>
      <c r="E145" s="12">
        <f>129+139</f>
        <v>268</v>
      </c>
      <c r="F145" s="12">
        <f>149+120</f>
        <v>269</v>
      </c>
      <c r="G145" s="12">
        <f>132+182</f>
        <v>314</v>
      </c>
      <c r="H145" s="155">
        <f>124+163</f>
        <v>287</v>
      </c>
      <c r="I145" s="43"/>
      <c r="J145" s="27">
        <f>AVERAGE(C145:I145)/2</f>
        <v>139.66666666666666</v>
      </c>
      <c r="K145" s="66"/>
      <c r="L145" s="66"/>
      <c r="M145" s="66"/>
      <c r="N145" s="66"/>
      <c r="O145" s="66"/>
      <c r="P145" s="57"/>
      <c r="Q145" s="57"/>
      <c r="R145" s="27"/>
      <c r="S145" s="61">
        <f>COUNTIF(C145:I145,"&gt;1")</f>
        <v>6</v>
      </c>
    </row>
    <row r="146" spans="1:22" ht="15" x14ac:dyDescent="0.25">
      <c r="A146" s="48"/>
      <c r="B146" s="48"/>
      <c r="C146" s="17"/>
      <c r="D146" s="17"/>
      <c r="E146" s="17"/>
      <c r="F146" s="17"/>
      <c r="G146" s="17"/>
      <c r="H146" s="17"/>
      <c r="I146" s="17"/>
      <c r="J146" s="60"/>
      <c r="K146" s="67"/>
      <c r="L146" s="67"/>
      <c r="M146" s="67"/>
      <c r="N146" s="67"/>
      <c r="O146" s="67"/>
      <c r="P146" s="17"/>
      <c r="Q146" s="17"/>
      <c r="R146" s="60">
        <f>SUM(C141:I145)/(S146*2)</f>
        <v>147.11111111111111</v>
      </c>
      <c r="S146" s="61">
        <f>SUM(S141:S145)</f>
        <v>27</v>
      </c>
    </row>
    <row r="147" spans="1:22" ht="13.5" thickBot="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K147" s="67"/>
      <c r="L147" s="67"/>
      <c r="M147" s="67"/>
      <c r="N147" s="67"/>
      <c r="O147" s="67"/>
      <c r="P147" s="17"/>
      <c r="Q147" s="17"/>
    </row>
    <row r="148" spans="1:22" ht="13.5" thickBot="1" x14ac:dyDescent="0.25">
      <c r="A148" s="77">
        <v>19</v>
      </c>
      <c r="B148" s="133" t="s">
        <v>81</v>
      </c>
      <c r="C148" s="73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5"/>
      <c r="R148" s="25"/>
    </row>
    <row r="149" spans="1:22" ht="15" x14ac:dyDescent="0.25">
      <c r="A149" s="132">
        <v>19</v>
      </c>
      <c r="B149" s="134" t="s">
        <v>112</v>
      </c>
      <c r="C149" s="72">
        <f>67+55</f>
        <v>122</v>
      </c>
      <c r="D149" s="24">
        <v>156</v>
      </c>
      <c r="E149" s="24">
        <f>92+91</f>
        <v>183</v>
      </c>
      <c r="F149" s="24">
        <f>59+91</f>
        <v>150</v>
      </c>
      <c r="G149" s="24">
        <f>73+138</f>
        <v>211</v>
      </c>
      <c r="H149" s="153">
        <f>74+142</f>
        <v>216</v>
      </c>
      <c r="I149" s="71"/>
      <c r="J149" s="27">
        <f>AVERAGE(C149:I149)/2</f>
        <v>86.5</v>
      </c>
      <c r="K149" s="65"/>
      <c r="L149" s="65"/>
      <c r="M149" s="65"/>
      <c r="N149" s="65"/>
      <c r="O149" s="65"/>
      <c r="P149" s="24"/>
      <c r="Q149" s="24"/>
      <c r="R149" s="27"/>
      <c r="S149" s="61">
        <f>COUNTIF(C149:I149,"&gt;1")</f>
        <v>6</v>
      </c>
    </row>
    <row r="150" spans="1:22" ht="15" x14ac:dyDescent="0.25">
      <c r="A150" s="132">
        <v>19</v>
      </c>
      <c r="B150" s="134" t="s">
        <v>113</v>
      </c>
      <c r="C150" s="23">
        <f>79+81</f>
        <v>160</v>
      </c>
      <c r="D150" s="57">
        <v>175</v>
      </c>
      <c r="E150" s="57">
        <f>72+92</f>
        <v>164</v>
      </c>
      <c r="F150" s="57">
        <f>84+78</f>
        <v>162</v>
      </c>
      <c r="G150" s="57">
        <f>147+131</f>
        <v>278</v>
      </c>
      <c r="H150" s="154">
        <f>125+104</f>
        <v>229</v>
      </c>
      <c r="I150" s="42"/>
      <c r="J150" s="27">
        <f>AVERAGE(C150:I150)/2</f>
        <v>97.333333333333329</v>
      </c>
      <c r="K150" s="66"/>
      <c r="L150" s="66"/>
      <c r="M150" s="66"/>
      <c r="N150" s="66"/>
      <c r="O150" s="66"/>
      <c r="P150" s="57"/>
      <c r="Q150" s="57"/>
      <c r="R150" s="27"/>
      <c r="S150" s="61">
        <f>COUNTIF(C150:I150,"&gt;1")</f>
        <v>6</v>
      </c>
    </row>
    <row r="151" spans="1:22" ht="15" x14ac:dyDescent="0.25">
      <c r="A151" s="132">
        <v>19</v>
      </c>
      <c r="B151" s="134" t="s">
        <v>100</v>
      </c>
      <c r="C151" s="23">
        <f>61+84</f>
        <v>145</v>
      </c>
      <c r="D151" s="57">
        <v>228</v>
      </c>
      <c r="E151" s="57">
        <f>61+82</f>
        <v>143</v>
      </c>
      <c r="F151" s="57">
        <f>97+103</f>
        <v>200</v>
      </c>
      <c r="G151" s="57">
        <f>112+76</f>
        <v>188</v>
      </c>
      <c r="H151" s="154">
        <f>164+96</f>
        <v>260</v>
      </c>
      <c r="I151" s="42"/>
      <c r="J151" s="27">
        <f>AVERAGE(C151:I151)/2</f>
        <v>97</v>
      </c>
      <c r="K151" s="66"/>
      <c r="L151" s="66"/>
      <c r="M151" s="66"/>
      <c r="N151" s="66"/>
      <c r="O151" s="66"/>
      <c r="P151" s="57"/>
      <c r="Q151" s="57"/>
      <c r="R151" s="27"/>
      <c r="S151" s="61">
        <f>COUNTIF(C151:I151,"&gt;1")</f>
        <v>6</v>
      </c>
      <c r="T151" s="6"/>
      <c r="U151" s="6"/>
      <c r="V151" s="6"/>
    </row>
    <row r="152" spans="1:22" ht="15" x14ac:dyDescent="0.25">
      <c r="A152" s="132">
        <v>19</v>
      </c>
      <c r="B152" s="134" t="s">
        <v>114</v>
      </c>
      <c r="C152" s="23">
        <f>77+92</f>
        <v>169</v>
      </c>
      <c r="D152" s="57">
        <v>164</v>
      </c>
      <c r="E152" s="57">
        <f>58+82</f>
        <v>140</v>
      </c>
      <c r="F152" s="57">
        <f>102+78</f>
        <v>180</v>
      </c>
      <c r="G152" s="57">
        <f>136+76</f>
        <v>212</v>
      </c>
      <c r="H152" s="154">
        <f>128+81</f>
        <v>209</v>
      </c>
      <c r="I152" s="42"/>
      <c r="J152" s="27">
        <f>AVERAGE(C152:I152)/2</f>
        <v>89.5</v>
      </c>
      <c r="K152" s="66"/>
      <c r="L152" s="66"/>
      <c r="M152" s="66"/>
      <c r="N152" s="66"/>
      <c r="O152" s="66"/>
      <c r="P152" s="57"/>
      <c r="Q152" s="57"/>
      <c r="R152" s="27"/>
      <c r="S152" s="61">
        <f>COUNTIF(C152:I152,"&gt;1")</f>
        <v>6</v>
      </c>
      <c r="T152" s="6"/>
      <c r="U152" s="6"/>
      <c r="V152" s="6"/>
    </row>
    <row r="153" spans="1:22" ht="15.75" thickBot="1" x14ac:dyDescent="0.3">
      <c r="A153" s="79">
        <v>19</v>
      </c>
      <c r="B153" s="85" t="s">
        <v>15</v>
      </c>
      <c r="C153" s="70">
        <v>0</v>
      </c>
      <c r="D153" s="147" t="s">
        <v>137</v>
      </c>
      <c r="E153" s="12"/>
      <c r="F153" s="12"/>
      <c r="G153" s="12"/>
      <c r="H153" s="155"/>
      <c r="I153" s="43"/>
      <c r="J153" s="27">
        <f>AVERAGE(C153:I153)/2</f>
        <v>0</v>
      </c>
      <c r="K153" s="66"/>
      <c r="L153" s="66"/>
      <c r="M153" s="66"/>
      <c r="N153" s="66"/>
      <c r="O153" s="66"/>
      <c r="P153" s="57"/>
      <c r="Q153" s="57"/>
      <c r="R153" s="27"/>
      <c r="S153" s="61">
        <f>COUNTIF(C153:I153,"&gt;1")</f>
        <v>0</v>
      </c>
      <c r="T153" s="6"/>
      <c r="U153" s="6"/>
      <c r="V153" s="6"/>
    </row>
    <row r="154" spans="1:22" x14ac:dyDescent="0.2">
      <c r="A154" s="5"/>
      <c r="B154" s="9"/>
      <c r="C154" s="17"/>
      <c r="D154" s="17"/>
      <c r="E154" s="17"/>
      <c r="F154" s="17"/>
      <c r="G154" s="17"/>
      <c r="H154" s="17"/>
      <c r="I154" s="17"/>
      <c r="J154" s="60"/>
      <c r="K154" s="67"/>
      <c r="L154" s="67"/>
      <c r="M154" s="67"/>
      <c r="N154" s="67"/>
      <c r="O154" s="67"/>
      <c r="P154" s="17"/>
      <c r="Q154" s="17"/>
      <c r="R154" s="60">
        <f>SUM(C149:I153)/(S154*2)</f>
        <v>92.583333333333329</v>
      </c>
      <c r="S154" s="61">
        <f>SUM(S149:S153)</f>
        <v>24</v>
      </c>
      <c r="T154" s="6"/>
      <c r="U154" s="6"/>
      <c r="V154" s="6"/>
    </row>
    <row r="155" spans="1:22" ht="13.5" thickBot="1" x14ac:dyDescent="0.25">
      <c r="A155" s="5"/>
      <c r="B155" s="9"/>
      <c r="C155" s="17"/>
      <c r="D155" s="6"/>
      <c r="E155" s="6"/>
      <c r="F155" s="6"/>
      <c r="G155" s="6"/>
      <c r="H155" s="6"/>
      <c r="I155" s="6"/>
      <c r="J155" s="4"/>
      <c r="K155" s="68"/>
      <c r="L155" s="68"/>
      <c r="M155" s="68"/>
      <c r="N155" s="68"/>
      <c r="O155" s="68"/>
      <c r="P155" s="6"/>
      <c r="Q155" s="6"/>
      <c r="R155" s="4"/>
      <c r="T155" s="6"/>
      <c r="U155" s="6"/>
      <c r="V155" s="6"/>
    </row>
    <row r="156" spans="1:22" ht="13.5" thickBot="1" x14ac:dyDescent="0.25">
      <c r="A156" s="77">
        <v>20</v>
      </c>
      <c r="B156" s="105" t="s">
        <v>82</v>
      </c>
      <c r="C156" s="73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5"/>
      <c r="R156" s="25"/>
      <c r="S156" s="61">
        <f>COUNTIF(K156:Q156,"&gt;1")</f>
        <v>0</v>
      </c>
      <c r="T156" s="6"/>
      <c r="U156" s="6"/>
      <c r="V156" s="6"/>
    </row>
    <row r="157" spans="1:22" ht="15" x14ac:dyDescent="0.25">
      <c r="A157" s="78">
        <v>20</v>
      </c>
      <c r="B157" s="107" t="s">
        <v>51</v>
      </c>
      <c r="C157" s="72">
        <f>79+86</f>
        <v>165</v>
      </c>
      <c r="D157" s="24"/>
      <c r="E157" s="24">
        <f>107+101</f>
        <v>208</v>
      </c>
      <c r="F157" s="24">
        <f>78+132</f>
        <v>210</v>
      </c>
      <c r="G157" s="24">
        <f>106+103</f>
        <v>209</v>
      </c>
      <c r="H157" s="153"/>
      <c r="I157" s="71">
        <f>119+104</f>
        <v>223</v>
      </c>
      <c r="J157" s="27">
        <f>AVERAGE(C157:I157)/2</f>
        <v>101.5</v>
      </c>
      <c r="K157" s="65"/>
      <c r="L157" s="65"/>
      <c r="M157" s="65"/>
      <c r="N157" s="65"/>
      <c r="O157" s="65"/>
      <c r="P157" s="24"/>
      <c r="Q157" s="24"/>
      <c r="R157" s="27"/>
      <c r="S157" s="61">
        <f>COUNTIF(C157:I157,"&gt;1")</f>
        <v>5</v>
      </c>
      <c r="T157" s="6"/>
      <c r="U157" s="6"/>
      <c r="V157" s="6"/>
    </row>
    <row r="158" spans="1:22" ht="15" x14ac:dyDescent="0.25">
      <c r="A158" s="78">
        <v>20</v>
      </c>
      <c r="B158" s="107" t="s">
        <v>52</v>
      </c>
      <c r="C158" s="23">
        <f>94+103</f>
        <v>197</v>
      </c>
      <c r="D158" s="57">
        <v>168</v>
      </c>
      <c r="E158" s="57">
        <f>111+106</f>
        <v>217</v>
      </c>
      <c r="F158" s="57"/>
      <c r="G158" s="57">
        <f>102+128</f>
        <v>230</v>
      </c>
      <c r="H158" s="154">
        <f>69+111</f>
        <v>180</v>
      </c>
      <c r="I158" s="42">
        <f>106+110</f>
        <v>216</v>
      </c>
      <c r="J158" s="27">
        <f>AVERAGE(C158:I158)/2</f>
        <v>100.66666666666667</v>
      </c>
      <c r="K158" s="66"/>
      <c r="L158" s="66"/>
      <c r="M158" s="66"/>
      <c r="N158" s="66"/>
      <c r="O158" s="66"/>
      <c r="P158" s="57"/>
      <c r="Q158" s="57"/>
      <c r="R158" s="27"/>
      <c r="S158" s="61">
        <f>COUNTIF(C158:I158,"&gt;1")</f>
        <v>6</v>
      </c>
      <c r="T158" s="6"/>
      <c r="U158" s="6"/>
      <c r="V158" s="6"/>
    </row>
    <row r="159" spans="1:22" ht="15" x14ac:dyDescent="0.25">
      <c r="A159" s="78">
        <v>20</v>
      </c>
      <c r="B159" s="107" t="s">
        <v>53</v>
      </c>
      <c r="C159" s="23">
        <f>118+134</f>
        <v>252</v>
      </c>
      <c r="D159" s="57">
        <v>197</v>
      </c>
      <c r="E159" s="57">
        <f>72+73</f>
        <v>145</v>
      </c>
      <c r="F159" s="57"/>
      <c r="G159" s="57">
        <f>122+117</f>
        <v>239</v>
      </c>
      <c r="H159" s="154">
        <f>102+91</f>
        <v>193</v>
      </c>
      <c r="I159" s="42">
        <f>102+102</f>
        <v>204</v>
      </c>
      <c r="J159" s="27">
        <f>AVERAGE(C159:I159)/2</f>
        <v>102.5</v>
      </c>
      <c r="K159" s="66"/>
      <c r="L159" s="66"/>
      <c r="M159" s="66"/>
      <c r="N159" s="66"/>
      <c r="O159" s="66"/>
      <c r="P159" s="57"/>
      <c r="Q159" s="57"/>
      <c r="R159" s="27"/>
      <c r="S159" s="61">
        <f>COUNTIF(C159:I159,"&gt;1")</f>
        <v>6</v>
      </c>
      <c r="T159" s="6"/>
      <c r="U159" s="6"/>
      <c r="V159" s="6"/>
    </row>
    <row r="160" spans="1:22" ht="15" x14ac:dyDescent="0.25">
      <c r="A160" s="78">
        <v>20</v>
      </c>
      <c r="B160" s="107" t="s">
        <v>54</v>
      </c>
      <c r="C160" s="23">
        <f>115+122</f>
        <v>237</v>
      </c>
      <c r="D160" s="57">
        <v>211</v>
      </c>
      <c r="E160" s="57">
        <f>78+71</f>
        <v>149</v>
      </c>
      <c r="F160" s="57">
        <f>94+105</f>
        <v>199</v>
      </c>
      <c r="G160" s="57">
        <f>78+68</f>
        <v>146</v>
      </c>
      <c r="H160" s="154">
        <f>90+105</f>
        <v>195</v>
      </c>
      <c r="I160" s="42">
        <f>94+123</f>
        <v>217</v>
      </c>
      <c r="J160" s="27">
        <f>AVERAGE(C160:I160)/2</f>
        <v>96.714285714285708</v>
      </c>
      <c r="K160" s="66"/>
      <c r="L160" s="66"/>
      <c r="M160" s="66"/>
      <c r="N160" s="66"/>
      <c r="O160" s="66"/>
      <c r="P160" s="57"/>
      <c r="Q160" s="57"/>
      <c r="R160" s="27"/>
      <c r="S160" s="61">
        <f>COUNTIF(C160:I160,"&gt;1")</f>
        <v>7</v>
      </c>
      <c r="T160" s="6"/>
      <c r="U160" s="6"/>
      <c r="V160" s="6"/>
    </row>
    <row r="161" spans="1:22" ht="15.75" thickBot="1" x14ac:dyDescent="0.3">
      <c r="A161" s="79">
        <v>20</v>
      </c>
      <c r="B161" s="146" t="s">
        <v>136</v>
      </c>
      <c r="C161" s="70"/>
      <c r="D161" s="12">
        <v>218</v>
      </c>
      <c r="E161" s="12"/>
      <c r="F161" s="12">
        <f>107+117</f>
        <v>224</v>
      </c>
      <c r="G161" s="12"/>
      <c r="H161" s="155">
        <f>123+105</f>
        <v>228</v>
      </c>
      <c r="I161" s="43"/>
      <c r="J161" s="27">
        <f>AVERAGE(C161:I161)/2</f>
        <v>111.66666666666667</v>
      </c>
      <c r="K161" s="66"/>
      <c r="L161" s="66"/>
      <c r="M161" s="66"/>
      <c r="N161" s="66"/>
      <c r="O161" s="66"/>
      <c r="P161" s="57"/>
      <c r="Q161" s="57"/>
      <c r="R161" s="27"/>
      <c r="S161" s="61">
        <f>COUNTIF(C161:I161,"&gt;1")</f>
        <v>3</v>
      </c>
      <c r="T161" s="6"/>
      <c r="U161" s="6"/>
      <c r="V161" s="6"/>
    </row>
    <row r="162" spans="1:22" x14ac:dyDescent="0.2">
      <c r="A162" s="5"/>
      <c r="B162" s="8"/>
      <c r="C162" s="17"/>
      <c r="D162" s="17"/>
      <c r="E162" s="17"/>
      <c r="F162" s="17"/>
      <c r="G162" s="17"/>
      <c r="H162" s="17"/>
      <c r="I162" s="17"/>
      <c r="J162" s="60"/>
      <c r="K162" s="67"/>
      <c r="L162" s="67"/>
      <c r="M162" s="67"/>
      <c r="N162" s="67"/>
      <c r="O162" s="67"/>
      <c r="P162" s="17"/>
      <c r="Q162" s="17"/>
      <c r="R162" s="60">
        <f>SUM(C157:I161)/(S162*2)</f>
        <v>101.42592592592592</v>
      </c>
      <c r="S162" s="61">
        <f>SUM(S157:S161)</f>
        <v>27</v>
      </c>
      <c r="T162" s="6"/>
      <c r="U162" s="6"/>
      <c r="V162" s="6"/>
    </row>
    <row r="163" spans="1:22" ht="13.5" thickBot="1" x14ac:dyDescent="0.25">
      <c r="A163" s="5"/>
      <c r="B163" s="8"/>
      <c r="C163" s="17"/>
      <c r="D163" s="6"/>
      <c r="E163" s="6"/>
      <c r="F163" s="6"/>
      <c r="G163" s="6"/>
      <c r="H163" s="6"/>
      <c r="I163" s="6"/>
      <c r="J163" s="4"/>
      <c r="K163" s="68"/>
      <c r="L163" s="68"/>
      <c r="M163" s="68"/>
      <c r="N163" s="68"/>
      <c r="O163" s="68"/>
      <c r="P163" s="6"/>
      <c r="Q163" s="6"/>
      <c r="R163" s="4"/>
      <c r="T163" s="6"/>
    </row>
    <row r="164" spans="1:22" ht="13.5" thickBot="1" x14ac:dyDescent="0.25">
      <c r="A164" s="77">
        <v>21</v>
      </c>
      <c r="B164" s="105" t="s">
        <v>89</v>
      </c>
      <c r="C164" s="73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5"/>
      <c r="R164" s="25"/>
      <c r="T164" s="6"/>
    </row>
    <row r="165" spans="1:22" ht="15" x14ac:dyDescent="0.25">
      <c r="A165" s="78">
        <v>21</v>
      </c>
      <c r="B165" s="139" t="s">
        <v>126</v>
      </c>
      <c r="C165" s="72">
        <v>262</v>
      </c>
      <c r="D165" s="24">
        <f>163+164</f>
        <v>327</v>
      </c>
      <c r="E165" s="24">
        <f>141+152</f>
        <v>293</v>
      </c>
      <c r="F165" s="24">
        <f>165+100</f>
        <v>265</v>
      </c>
      <c r="G165" s="24">
        <f>159+156</f>
        <v>315</v>
      </c>
      <c r="H165" s="153">
        <f>182+167</f>
        <v>349</v>
      </c>
      <c r="I165" s="71"/>
      <c r="J165" s="27">
        <f>AVERAGE(C165:I165)/2</f>
        <v>150.91666666666666</v>
      </c>
      <c r="K165" s="65"/>
      <c r="L165" s="65"/>
      <c r="M165" s="65"/>
      <c r="N165" s="65"/>
      <c r="O165" s="65"/>
      <c r="P165" s="24"/>
      <c r="Q165" s="24"/>
      <c r="R165" s="27"/>
      <c r="S165" s="61">
        <f>COUNTIF(C165:I165,"&gt;1")</f>
        <v>6</v>
      </c>
      <c r="T165" s="6"/>
    </row>
    <row r="166" spans="1:22" ht="15" x14ac:dyDescent="0.25">
      <c r="A166" s="78">
        <v>21</v>
      </c>
      <c r="B166" s="140" t="s">
        <v>23</v>
      </c>
      <c r="C166" s="23">
        <v>327</v>
      </c>
      <c r="D166" s="57">
        <f>173+197</f>
        <v>370</v>
      </c>
      <c r="E166" s="57">
        <f>170+203</f>
        <v>373</v>
      </c>
      <c r="F166" s="57">
        <f>159+168</f>
        <v>327</v>
      </c>
      <c r="G166" s="57">
        <f>142+139</f>
        <v>281</v>
      </c>
      <c r="H166" s="154">
        <f>179+150</f>
        <v>329</v>
      </c>
      <c r="I166" s="42"/>
      <c r="J166" s="27">
        <f>AVERAGE(C166:I166)/2</f>
        <v>167.25</v>
      </c>
      <c r="K166" s="66"/>
      <c r="L166" s="66"/>
      <c r="M166" s="66"/>
      <c r="N166" s="66"/>
      <c r="O166" s="66"/>
      <c r="P166" s="57"/>
      <c r="Q166" s="57"/>
      <c r="R166" s="27"/>
      <c r="S166" s="61">
        <f>COUNTIF(C166:I166,"&gt;1")</f>
        <v>6</v>
      </c>
      <c r="T166" s="6"/>
    </row>
    <row r="167" spans="1:22" ht="15" x14ac:dyDescent="0.25">
      <c r="A167" s="78">
        <v>21</v>
      </c>
      <c r="B167" s="140" t="s">
        <v>127</v>
      </c>
      <c r="C167" s="23">
        <v>300</v>
      </c>
      <c r="D167" s="57">
        <f>135+170</f>
        <v>305</v>
      </c>
      <c r="E167" s="57">
        <f>167+153</f>
        <v>320</v>
      </c>
      <c r="F167" s="57">
        <f>175+166</f>
        <v>341</v>
      </c>
      <c r="G167" s="57">
        <f>129+176</f>
        <v>305</v>
      </c>
      <c r="H167" s="154">
        <f>161+195</f>
        <v>356</v>
      </c>
      <c r="I167" s="42"/>
      <c r="J167" s="27">
        <f>AVERAGE(C167:I167)/2</f>
        <v>160.58333333333334</v>
      </c>
      <c r="K167" s="66"/>
      <c r="L167" s="66"/>
      <c r="M167" s="66"/>
      <c r="N167" s="66"/>
      <c r="O167" s="66"/>
      <c r="P167" s="57"/>
      <c r="Q167" s="57"/>
      <c r="R167" s="27"/>
      <c r="S167" s="61">
        <f>COUNTIF(C167:I167,"&gt;1")</f>
        <v>6</v>
      </c>
      <c r="T167" s="6"/>
    </row>
    <row r="168" spans="1:22" ht="15" x14ac:dyDescent="0.25">
      <c r="A168" s="78">
        <v>21</v>
      </c>
      <c r="B168" s="110"/>
      <c r="C168" s="23">
        <v>0</v>
      </c>
      <c r="D168" s="57"/>
      <c r="E168" s="57"/>
      <c r="F168" s="57"/>
      <c r="G168" s="57"/>
      <c r="H168" s="154"/>
      <c r="I168" s="42"/>
      <c r="J168" s="27">
        <f>AVERAGE(C168:I168)/2</f>
        <v>0</v>
      </c>
      <c r="K168" s="66"/>
      <c r="L168" s="66"/>
      <c r="M168" s="66"/>
      <c r="N168" s="66"/>
      <c r="O168" s="66"/>
      <c r="P168" s="57"/>
      <c r="Q168" s="57"/>
      <c r="R168" s="27"/>
      <c r="S168" s="61">
        <f>COUNTIF(C168:I168,"&gt;1")</f>
        <v>0</v>
      </c>
      <c r="T168" s="6"/>
    </row>
    <row r="169" spans="1:22" ht="15.75" thickBot="1" x14ac:dyDescent="0.3">
      <c r="A169" s="79">
        <v>21</v>
      </c>
      <c r="B169" s="119"/>
      <c r="C169" s="70">
        <v>0</v>
      </c>
      <c r="D169" s="12"/>
      <c r="E169" s="12"/>
      <c r="F169" s="12"/>
      <c r="G169" s="12"/>
      <c r="H169" s="155"/>
      <c r="I169" s="43"/>
      <c r="J169" s="27">
        <f>AVERAGE(C169:I169)/2</f>
        <v>0</v>
      </c>
      <c r="K169" s="66"/>
      <c r="L169" s="66"/>
      <c r="M169" s="66"/>
      <c r="N169" s="66"/>
      <c r="O169" s="66"/>
      <c r="P169" s="57"/>
      <c r="Q169" s="57"/>
      <c r="R169" s="27"/>
      <c r="S169" s="61">
        <f>COUNTIF(C169:I169,"&gt;1")</f>
        <v>0</v>
      </c>
      <c r="T169" s="6"/>
    </row>
    <row r="170" spans="1:22" x14ac:dyDescent="0.2">
      <c r="A170" s="5"/>
      <c r="B170" s="8"/>
      <c r="C170" s="17"/>
      <c r="D170" s="17"/>
      <c r="E170" s="17"/>
      <c r="F170" s="17"/>
      <c r="G170" s="17"/>
      <c r="H170" s="17"/>
      <c r="I170" s="17"/>
      <c r="J170" s="60"/>
      <c r="K170" s="67"/>
      <c r="L170" s="67"/>
      <c r="M170" s="67"/>
      <c r="N170" s="67"/>
      <c r="O170" s="67"/>
      <c r="P170" s="17"/>
      <c r="Q170" s="17"/>
      <c r="R170" s="60">
        <f>SUM(C165:I169)/(S170*2)</f>
        <v>159.58333333333334</v>
      </c>
      <c r="S170" s="61">
        <f>SUM(S165:S169)</f>
        <v>18</v>
      </c>
      <c r="T170" s="6"/>
    </row>
    <row r="171" spans="1:22" ht="13.5" thickBot="1" x14ac:dyDescent="0.25">
      <c r="A171" s="5"/>
      <c r="B171" s="8"/>
      <c r="C171" s="17"/>
      <c r="D171" s="6"/>
      <c r="E171" s="6"/>
      <c r="F171" s="6"/>
      <c r="G171" s="6"/>
      <c r="H171" s="6"/>
      <c r="I171" s="6"/>
      <c r="J171" s="4"/>
      <c r="K171" s="68"/>
      <c r="L171" s="68"/>
      <c r="M171" s="68"/>
      <c r="N171" s="68"/>
      <c r="O171" s="68"/>
      <c r="P171" s="6"/>
      <c r="Q171" s="6"/>
      <c r="R171" s="4"/>
      <c r="T171" s="6"/>
    </row>
    <row r="172" spans="1:22" s="6" customFormat="1" ht="13.5" thickBot="1" x14ac:dyDescent="0.25">
      <c r="A172" s="77">
        <v>22</v>
      </c>
      <c r="B172" s="105" t="s">
        <v>27</v>
      </c>
      <c r="C172" s="73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5"/>
      <c r="R172" s="25"/>
      <c r="S172" s="52"/>
    </row>
    <row r="173" spans="1:22" s="6" customFormat="1" ht="15" x14ac:dyDescent="0.25">
      <c r="A173" s="78">
        <v>22</v>
      </c>
      <c r="B173" s="149" t="s">
        <v>140</v>
      </c>
      <c r="C173" s="72">
        <v>252</v>
      </c>
      <c r="D173" s="24">
        <f>105+132</f>
        <v>237</v>
      </c>
      <c r="E173" s="24">
        <f>90+96</f>
        <v>186</v>
      </c>
      <c r="F173" s="24">
        <f>135+113</f>
        <v>248</v>
      </c>
      <c r="G173" s="24">
        <f>120+158</f>
        <v>278</v>
      </c>
      <c r="H173" s="153"/>
      <c r="I173" s="71">
        <f>97+121</f>
        <v>218</v>
      </c>
      <c r="J173" s="27">
        <f>AVERAGE(C173:I173)/2</f>
        <v>118.25</v>
      </c>
      <c r="K173" s="65"/>
      <c r="L173" s="65"/>
      <c r="M173" s="65"/>
      <c r="N173" s="65"/>
      <c r="O173" s="65"/>
      <c r="P173" s="24"/>
      <c r="Q173" s="24"/>
      <c r="R173" s="27"/>
      <c r="S173" s="61">
        <f>COUNTIF(C173:I173,"&gt;1")</f>
        <v>6</v>
      </c>
      <c r="T173" s="44"/>
    </row>
    <row r="174" spans="1:22" s="6" customFormat="1" ht="15" x14ac:dyDescent="0.25">
      <c r="A174" s="78">
        <v>22</v>
      </c>
      <c r="B174" s="150" t="s">
        <v>141</v>
      </c>
      <c r="C174" s="23">
        <f>110+116</f>
        <v>226</v>
      </c>
      <c r="D174" s="57">
        <f>128+138</f>
        <v>266</v>
      </c>
      <c r="E174" s="57">
        <f>115+112</f>
        <v>227</v>
      </c>
      <c r="F174" s="57">
        <f>122+98</f>
        <v>220</v>
      </c>
      <c r="G174" s="57">
        <f>112+151</f>
        <v>263</v>
      </c>
      <c r="H174" s="154"/>
      <c r="I174" s="42">
        <f>105+161</f>
        <v>266</v>
      </c>
      <c r="J174" s="27">
        <f>AVERAGE(C174:I174)/2</f>
        <v>122.33333333333333</v>
      </c>
      <c r="K174" s="66"/>
      <c r="L174" s="66"/>
      <c r="M174" s="66"/>
      <c r="N174" s="66"/>
      <c r="O174" s="66"/>
      <c r="P174" s="57"/>
      <c r="Q174" s="57"/>
      <c r="R174" s="27"/>
      <c r="S174" s="61">
        <f>COUNTIF(C174:I174,"&gt;1")</f>
        <v>6</v>
      </c>
    </row>
    <row r="175" spans="1:22" s="6" customFormat="1" ht="15" x14ac:dyDescent="0.25">
      <c r="A175" s="78">
        <v>22</v>
      </c>
      <c r="B175" s="150" t="s">
        <v>142</v>
      </c>
      <c r="C175" s="23">
        <f>102+140</f>
        <v>242</v>
      </c>
      <c r="D175" s="57">
        <f>106+138</f>
        <v>244</v>
      </c>
      <c r="E175" s="57">
        <f>104+132</f>
        <v>236</v>
      </c>
      <c r="F175" s="57">
        <f>147+145</f>
        <v>292</v>
      </c>
      <c r="G175" s="57">
        <f>132+117</f>
        <v>249</v>
      </c>
      <c r="H175" s="154"/>
      <c r="I175" s="42">
        <f>121+152</f>
        <v>273</v>
      </c>
      <c r="J175" s="27">
        <f>AVERAGE(C175:I175)/2</f>
        <v>128</v>
      </c>
      <c r="K175" s="66"/>
      <c r="L175" s="66"/>
      <c r="M175" s="66"/>
      <c r="N175" s="66"/>
      <c r="O175" s="66"/>
      <c r="P175" s="57"/>
      <c r="Q175" s="57"/>
      <c r="R175" s="27"/>
      <c r="S175" s="61">
        <f>COUNTIF(C175:I175,"&gt;1")</f>
        <v>6</v>
      </c>
    </row>
    <row r="176" spans="1:22" s="6" customFormat="1" ht="15" x14ac:dyDescent="0.25">
      <c r="A176" s="78">
        <v>22</v>
      </c>
      <c r="B176" s="110"/>
      <c r="C176" s="23">
        <v>0</v>
      </c>
      <c r="D176" s="57"/>
      <c r="E176" s="57"/>
      <c r="F176" s="57"/>
      <c r="G176" s="57"/>
      <c r="H176" s="154"/>
      <c r="I176" s="42"/>
      <c r="J176" s="27">
        <f>AVERAGE(C176:I176)/2</f>
        <v>0</v>
      </c>
      <c r="K176" s="66"/>
      <c r="L176" s="66"/>
      <c r="M176" s="66"/>
      <c r="N176" s="66"/>
      <c r="O176" s="66"/>
      <c r="P176" s="57"/>
      <c r="Q176" s="57"/>
      <c r="R176" s="27"/>
      <c r="S176" s="61">
        <f>COUNTIF(C176:I176,"&gt;1")</f>
        <v>0</v>
      </c>
      <c r="T176" s="46"/>
    </row>
    <row r="177" spans="1:19" s="6" customFormat="1" ht="15.75" thickBot="1" x14ac:dyDescent="0.3">
      <c r="A177" s="79">
        <v>22</v>
      </c>
      <c r="B177" s="126"/>
      <c r="C177" s="70">
        <v>0</v>
      </c>
      <c r="D177" s="12"/>
      <c r="E177" s="12"/>
      <c r="F177" s="12"/>
      <c r="G177" s="12"/>
      <c r="H177" s="155"/>
      <c r="I177" s="43"/>
      <c r="J177" s="27">
        <f>AVERAGE(C177:I177)/2</f>
        <v>0</v>
      </c>
      <c r="K177" s="66"/>
      <c r="L177" s="66"/>
      <c r="M177" s="66"/>
      <c r="N177" s="66"/>
      <c r="O177" s="66"/>
      <c r="P177" s="57"/>
      <c r="Q177" s="57"/>
      <c r="R177" s="27"/>
      <c r="S177" s="61">
        <f>COUNTIF(C177:I177,"&gt;1")</f>
        <v>0</v>
      </c>
    </row>
    <row r="178" spans="1:19" s="6" customFormat="1" x14ac:dyDescent="0.2">
      <c r="A178" s="5"/>
      <c r="B178" s="8"/>
      <c r="C178" s="17"/>
      <c r="D178" s="17"/>
      <c r="E178" s="17"/>
      <c r="F178" s="17"/>
      <c r="G178" s="17"/>
      <c r="H178" s="17"/>
      <c r="I178" s="17"/>
      <c r="J178" s="60"/>
      <c r="K178" s="67"/>
      <c r="L178" s="67"/>
      <c r="M178" s="67"/>
      <c r="N178" s="67"/>
      <c r="O178" s="67"/>
      <c r="P178" s="17"/>
      <c r="Q178" s="17"/>
      <c r="R178" s="60">
        <f>SUM(C173:I177)/(S178*2)</f>
        <v>122.86111111111111</v>
      </c>
      <c r="S178" s="61">
        <f>SUM(S173:S177)</f>
        <v>18</v>
      </c>
    </row>
    <row r="179" spans="1:19" s="6" customFormat="1" ht="13.5" thickBot="1" x14ac:dyDescent="0.25">
      <c r="A179" s="5"/>
      <c r="B179" s="8"/>
      <c r="C179" s="17"/>
      <c r="J179" s="4"/>
      <c r="K179" s="68"/>
      <c r="L179" s="68"/>
      <c r="M179" s="68"/>
      <c r="N179" s="68"/>
      <c r="O179" s="68"/>
      <c r="R179" s="4"/>
      <c r="S179" s="52"/>
    </row>
    <row r="180" spans="1:19" s="6" customFormat="1" ht="15.75" thickBot="1" x14ac:dyDescent="0.25">
      <c r="A180" s="77">
        <v>23</v>
      </c>
      <c r="B180" s="128" t="s">
        <v>86</v>
      </c>
      <c r="C180" s="73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5"/>
      <c r="R180" s="25"/>
      <c r="S180" s="52"/>
    </row>
    <row r="181" spans="1:19" s="6" customFormat="1" ht="15" x14ac:dyDescent="0.25">
      <c r="A181" s="78">
        <v>23</v>
      </c>
      <c r="B181" s="109"/>
      <c r="C181" s="72">
        <v>2</v>
      </c>
      <c r="D181" s="24"/>
      <c r="E181" s="24"/>
      <c r="F181" s="24"/>
      <c r="G181" s="24"/>
      <c r="H181" s="153"/>
      <c r="I181" s="71"/>
      <c r="J181" s="27">
        <f>AVERAGE(C181:I181)/2</f>
        <v>1</v>
      </c>
      <c r="K181" s="65"/>
      <c r="L181" s="65"/>
      <c r="M181" s="65"/>
      <c r="N181" s="65"/>
      <c r="O181" s="65"/>
      <c r="P181" s="24"/>
      <c r="Q181" s="24"/>
      <c r="R181" s="27"/>
      <c r="S181" s="61">
        <f>COUNTIF(C181:I181,"&gt;1")</f>
        <v>1</v>
      </c>
    </row>
    <row r="182" spans="1:19" s="6" customFormat="1" ht="15" x14ac:dyDescent="0.25">
      <c r="A182" s="78">
        <v>23</v>
      </c>
      <c r="B182" s="110"/>
      <c r="C182" s="23">
        <v>2</v>
      </c>
      <c r="D182" s="57"/>
      <c r="E182" s="57"/>
      <c r="F182" s="57"/>
      <c r="G182" s="57"/>
      <c r="H182" s="154"/>
      <c r="I182" s="42"/>
      <c r="J182" s="27">
        <f>AVERAGE(C182:I182)/2</f>
        <v>1</v>
      </c>
      <c r="K182" s="66"/>
      <c r="L182" s="66"/>
      <c r="M182" s="66"/>
      <c r="N182" s="66"/>
      <c r="O182" s="66"/>
      <c r="P182" s="57"/>
      <c r="Q182" s="57"/>
      <c r="R182" s="27"/>
      <c r="S182" s="61">
        <f>COUNTIF(C182:I182,"&gt;1")</f>
        <v>1</v>
      </c>
    </row>
    <row r="183" spans="1:19" s="6" customFormat="1" ht="15" x14ac:dyDescent="0.25">
      <c r="A183" s="78">
        <v>23</v>
      </c>
      <c r="B183" s="110"/>
      <c r="C183" s="23">
        <v>2</v>
      </c>
      <c r="D183" s="57"/>
      <c r="E183" s="57"/>
      <c r="F183" s="57"/>
      <c r="G183" s="57"/>
      <c r="H183" s="154"/>
      <c r="I183" s="42"/>
      <c r="J183" s="27">
        <f>AVERAGE(C183:I183)/2</f>
        <v>1</v>
      </c>
      <c r="K183" s="66"/>
      <c r="L183" s="66"/>
      <c r="M183" s="66"/>
      <c r="N183" s="66"/>
      <c r="O183" s="66"/>
      <c r="P183" s="57"/>
      <c r="Q183" s="57"/>
      <c r="R183" s="27"/>
      <c r="S183" s="61">
        <f>COUNTIF(C183:I183,"&gt;1")</f>
        <v>1</v>
      </c>
    </row>
    <row r="184" spans="1:19" s="6" customFormat="1" ht="15" x14ac:dyDescent="0.25">
      <c r="A184" s="78">
        <v>23</v>
      </c>
      <c r="B184" s="110"/>
      <c r="C184" s="23">
        <v>2</v>
      </c>
      <c r="D184" s="57"/>
      <c r="E184" s="57"/>
      <c r="F184" s="57"/>
      <c r="G184" s="57"/>
      <c r="H184" s="154"/>
      <c r="I184" s="42"/>
      <c r="J184" s="27">
        <f>AVERAGE(C184:I184)/2</f>
        <v>1</v>
      </c>
      <c r="K184" s="66"/>
      <c r="L184" s="66"/>
      <c r="M184" s="66"/>
      <c r="N184" s="66"/>
      <c r="O184" s="66"/>
      <c r="P184" s="57"/>
      <c r="Q184" s="57"/>
      <c r="R184" s="27"/>
      <c r="S184" s="61">
        <f>COUNTIF(C184:I184,"&gt;1")</f>
        <v>1</v>
      </c>
    </row>
    <row r="185" spans="1:19" s="6" customFormat="1" ht="15.75" thickBot="1" x14ac:dyDescent="0.3">
      <c r="A185" s="79">
        <v>23</v>
      </c>
      <c r="B185" s="90"/>
      <c r="C185" s="70">
        <v>2</v>
      </c>
      <c r="D185" s="12"/>
      <c r="E185" s="12"/>
      <c r="F185" s="12"/>
      <c r="G185" s="12"/>
      <c r="H185" s="155"/>
      <c r="I185" s="43"/>
      <c r="J185" s="27">
        <f>AVERAGE(C185:I185)/2</f>
        <v>1</v>
      </c>
      <c r="K185" s="66"/>
      <c r="L185" s="66"/>
      <c r="M185" s="66"/>
      <c r="N185" s="66"/>
      <c r="O185" s="66"/>
      <c r="P185" s="57"/>
      <c r="Q185" s="57"/>
      <c r="R185" s="27"/>
      <c r="S185" s="61">
        <f>COUNTIF(C185:I185,"&gt;1")</f>
        <v>1</v>
      </c>
    </row>
    <row r="186" spans="1:19" s="6" customFormat="1" x14ac:dyDescent="0.2">
      <c r="A186" s="5"/>
      <c r="B186" s="8"/>
      <c r="C186" s="17"/>
      <c r="D186" s="17"/>
      <c r="E186" s="17"/>
      <c r="F186" s="17"/>
      <c r="G186" s="17"/>
      <c r="H186" s="17"/>
      <c r="I186" s="17"/>
      <c r="J186" s="60"/>
      <c r="K186" s="67"/>
      <c r="L186" s="67"/>
      <c r="M186" s="67"/>
      <c r="N186" s="67"/>
      <c r="O186" s="67"/>
      <c r="P186" s="17"/>
      <c r="Q186" s="17"/>
      <c r="R186" s="60">
        <f>SUM(C181:I185)/(S186*2)</f>
        <v>1</v>
      </c>
      <c r="S186" s="61">
        <f>SUM(S181:S185)</f>
        <v>5</v>
      </c>
    </row>
    <row r="187" spans="1:19" s="6" customFormat="1" ht="13.5" thickBot="1" x14ac:dyDescent="0.25">
      <c r="A187" s="5"/>
      <c r="B187" s="8"/>
      <c r="C187" s="17"/>
      <c r="J187" s="4"/>
      <c r="K187" s="68"/>
      <c r="L187" s="68"/>
      <c r="M187" s="68"/>
      <c r="N187" s="68"/>
      <c r="O187" s="68"/>
      <c r="R187" s="4"/>
      <c r="S187" s="52"/>
    </row>
    <row r="188" spans="1:19" s="6" customFormat="1" ht="15.75" thickBot="1" x14ac:dyDescent="0.25">
      <c r="A188" s="77">
        <v>24</v>
      </c>
      <c r="B188" s="128" t="s">
        <v>115</v>
      </c>
      <c r="C188" s="73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5"/>
      <c r="R188" s="25"/>
      <c r="S188" s="61">
        <f>COUNTIF(K188:Q188,"&gt;1")</f>
        <v>0</v>
      </c>
    </row>
    <row r="189" spans="1:19" s="6" customFormat="1" ht="15" x14ac:dyDescent="0.25">
      <c r="A189" s="78">
        <v>24</v>
      </c>
      <c r="B189" s="129" t="s">
        <v>35</v>
      </c>
      <c r="C189" s="72">
        <f>97+64</f>
        <v>161</v>
      </c>
      <c r="D189" s="24">
        <f>86+90</f>
        <v>176</v>
      </c>
      <c r="E189" s="24">
        <f>102+139</f>
        <v>241</v>
      </c>
      <c r="F189" s="24"/>
      <c r="G189" s="24">
        <f>127+109</f>
        <v>236</v>
      </c>
      <c r="H189" s="153">
        <f>131+126</f>
        <v>257</v>
      </c>
      <c r="I189" s="71"/>
      <c r="J189" s="27">
        <f>AVERAGE(C189:I189)/2</f>
        <v>107.1</v>
      </c>
      <c r="K189" s="65"/>
      <c r="L189" s="65"/>
      <c r="M189" s="65"/>
      <c r="N189" s="65"/>
      <c r="O189" s="65"/>
      <c r="P189" s="24"/>
      <c r="Q189" s="24"/>
      <c r="R189" s="27"/>
      <c r="S189" s="61">
        <f>COUNTIF(C189:I189,"&gt;1")</f>
        <v>5</v>
      </c>
    </row>
    <row r="190" spans="1:19" s="6" customFormat="1" ht="15" x14ac:dyDescent="0.25">
      <c r="A190" s="78">
        <v>24</v>
      </c>
      <c r="B190" s="130" t="s">
        <v>101</v>
      </c>
      <c r="C190" s="23">
        <f>72+54</f>
        <v>126</v>
      </c>
      <c r="D190" s="57">
        <f>64+97</f>
        <v>161</v>
      </c>
      <c r="E190" s="57">
        <f>96+105</f>
        <v>201</v>
      </c>
      <c r="F190" s="57">
        <f>89+80</f>
        <v>169</v>
      </c>
      <c r="G190" s="57">
        <f>101+170</f>
        <v>271</v>
      </c>
      <c r="H190" s="154">
        <f>62+134</f>
        <v>196</v>
      </c>
      <c r="I190" s="42"/>
      <c r="J190" s="27">
        <f>AVERAGE(C190:I190)/2</f>
        <v>93.666666666666671</v>
      </c>
      <c r="K190" s="66"/>
      <c r="L190" s="66"/>
      <c r="M190" s="66"/>
      <c r="N190" s="66"/>
      <c r="O190" s="66"/>
      <c r="P190" s="57"/>
      <c r="Q190" s="57"/>
      <c r="R190" s="27"/>
      <c r="S190" s="61">
        <f>COUNTIF(C190:I190,"&gt;1")</f>
        <v>6</v>
      </c>
    </row>
    <row r="191" spans="1:19" s="6" customFormat="1" ht="15" x14ac:dyDescent="0.25">
      <c r="A191" s="78">
        <v>24</v>
      </c>
      <c r="B191" s="130" t="s">
        <v>102</v>
      </c>
      <c r="C191" s="23">
        <f>102+85</f>
        <v>187</v>
      </c>
      <c r="D191" s="57">
        <f>89+107</f>
        <v>196</v>
      </c>
      <c r="E191" s="57"/>
      <c r="F191" s="57">
        <f>95+72</f>
        <v>167</v>
      </c>
      <c r="G191" s="57"/>
      <c r="H191" s="154">
        <f>81+96</f>
        <v>177</v>
      </c>
      <c r="I191" s="42"/>
      <c r="J191" s="27">
        <f>AVERAGE(C191:I191)/2</f>
        <v>90.875</v>
      </c>
      <c r="K191" s="66"/>
      <c r="L191" s="66"/>
      <c r="M191" s="66"/>
      <c r="N191" s="66"/>
      <c r="O191" s="66"/>
      <c r="P191" s="57"/>
      <c r="Q191" s="57"/>
      <c r="R191" s="27"/>
      <c r="S191" s="61">
        <f>COUNTIF(C191:I191,"&gt;1")</f>
        <v>4</v>
      </c>
    </row>
    <row r="192" spans="1:19" s="6" customFormat="1" ht="15" x14ac:dyDescent="0.25">
      <c r="A192" s="78">
        <v>24</v>
      </c>
      <c r="B192" s="130" t="s">
        <v>103</v>
      </c>
      <c r="C192" s="23">
        <f>69+106</f>
        <v>175</v>
      </c>
      <c r="D192" s="57">
        <f>108+126</f>
        <v>234</v>
      </c>
      <c r="E192" s="57">
        <f>109+95</f>
        <v>204</v>
      </c>
      <c r="F192" s="57">
        <f>83+85</f>
        <v>168</v>
      </c>
      <c r="G192" s="57">
        <f>120+76</f>
        <v>196</v>
      </c>
      <c r="H192" s="154"/>
      <c r="I192" s="42"/>
      <c r="J192" s="27">
        <f>AVERAGE(C192:I192)/2</f>
        <v>97.7</v>
      </c>
      <c r="K192" s="66"/>
      <c r="L192" s="66"/>
      <c r="M192" s="66"/>
      <c r="N192" s="66"/>
      <c r="O192" s="66"/>
      <c r="P192" s="57"/>
      <c r="Q192" s="57"/>
      <c r="R192" s="27"/>
      <c r="S192" s="61">
        <f>COUNTIF(C192:I192,"&gt;1")</f>
        <v>5</v>
      </c>
    </row>
    <row r="193" spans="1:20" s="6" customFormat="1" ht="15.75" thickBot="1" x14ac:dyDescent="0.3">
      <c r="A193" s="79">
        <v>24</v>
      </c>
      <c r="B193" s="152" t="s">
        <v>147</v>
      </c>
      <c r="C193" s="70"/>
      <c r="D193" s="12"/>
      <c r="E193" s="12">
        <f>89+108</f>
        <v>197</v>
      </c>
      <c r="F193" s="12">
        <f>95+117</f>
        <v>212</v>
      </c>
      <c r="G193" s="12">
        <f>91+110</f>
        <v>201</v>
      </c>
      <c r="H193" s="155">
        <f>125+119</f>
        <v>244</v>
      </c>
      <c r="I193" s="43"/>
      <c r="J193" s="27">
        <f>AVERAGE(C193:I193)/2</f>
        <v>106.75</v>
      </c>
      <c r="K193" s="66"/>
      <c r="L193" s="66"/>
      <c r="M193" s="66"/>
      <c r="N193" s="66"/>
      <c r="O193" s="66"/>
      <c r="P193" s="57"/>
      <c r="Q193" s="57"/>
      <c r="R193" s="27"/>
      <c r="S193" s="61">
        <f>COUNTIF(C193:I193,"&gt;1")</f>
        <v>4</v>
      </c>
    </row>
    <row r="194" spans="1:20" s="6" customFormat="1" x14ac:dyDescent="0.2">
      <c r="A194" s="5"/>
      <c r="C194" s="17"/>
      <c r="D194" s="17"/>
      <c r="E194" s="17"/>
      <c r="F194" s="17"/>
      <c r="G194" s="17"/>
      <c r="H194" s="17"/>
      <c r="I194" s="17"/>
      <c r="J194" s="60"/>
      <c r="K194" s="67"/>
      <c r="L194" s="67"/>
      <c r="M194" s="67"/>
      <c r="N194" s="67"/>
      <c r="O194" s="67"/>
      <c r="P194" s="17"/>
      <c r="Q194" s="17"/>
      <c r="R194" s="60">
        <f>SUM(C189:I193)/(S194*2)</f>
        <v>99.020833333333329</v>
      </c>
      <c r="S194" s="61">
        <f>SUM(S189:S193)</f>
        <v>24</v>
      </c>
    </row>
    <row r="195" spans="1:20" s="6" customFormat="1" ht="13.5" thickBot="1" x14ac:dyDescent="0.25">
      <c r="A195" s="5"/>
      <c r="C195" s="17"/>
      <c r="J195" s="4"/>
      <c r="K195" s="68"/>
      <c r="L195" s="68"/>
      <c r="M195" s="68"/>
      <c r="N195" s="68"/>
      <c r="O195" s="68"/>
      <c r="R195" s="4"/>
      <c r="S195" s="52"/>
    </row>
    <row r="196" spans="1:20" s="6" customFormat="1" ht="13.5" thickBot="1" x14ac:dyDescent="0.25">
      <c r="A196" s="77">
        <v>25</v>
      </c>
      <c r="B196" s="105" t="s">
        <v>83</v>
      </c>
      <c r="C196" s="73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5"/>
      <c r="R196" s="25"/>
      <c r="S196" s="61">
        <f>COUNTIF(K196:Q196,"&gt;1")</f>
        <v>0</v>
      </c>
    </row>
    <row r="197" spans="1:20" s="6" customFormat="1" ht="15" x14ac:dyDescent="0.25">
      <c r="A197" s="78">
        <v>25</v>
      </c>
      <c r="B197" s="129" t="s">
        <v>20</v>
      </c>
      <c r="C197" s="72">
        <f>114+128</f>
        <v>242</v>
      </c>
      <c r="D197" s="24">
        <f>85+111</f>
        <v>196</v>
      </c>
      <c r="E197" s="24">
        <f>119+97</f>
        <v>216</v>
      </c>
      <c r="F197" s="24">
        <f>129+121</f>
        <v>250</v>
      </c>
      <c r="G197" s="24">
        <f>144+133</f>
        <v>277</v>
      </c>
      <c r="H197" s="153">
        <f>98+148</f>
        <v>246</v>
      </c>
      <c r="I197" s="71">
        <f>121+108</f>
        <v>229</v>
      </c>
      <c r="J197" s="27">
        <f>AVERAGE(C197:I197)/2</f>
        <v>118.28571428571429</v>
      </c>
      <c r="K197" s="65"/>
      <c r="L197" s="65"/>
      <c r="M197" s="65"/>
      <c r="N197" s="65"/>
      <c r="O197" s="65"/>
      <c r="P197" s="24"/>
      <c r="Q197" s="24"/>
      <c r="R197" s="27"/>
      <c r="S197" s="61">
        <f>COUNTIF(C197:I197,"&gt;1")</f>
        <v>7</v>
      </c>
    </row>
    <row r="198" spans="1:20" s="6" customFormat="1" ht="15" x14ac:dyDescent="0.25">
      <c r="A198" s="78">
        <v>25</v>
      </c>
      <c r="B198" s="130" t="s">
        <v>117</v>
      </c>
      <c r="C198" s="23">
        <f>115+133</f>
        <v>248</v>
      </c>
      <c r="D198" s="57">
        <f>109+148</f>
        <v>257</v>
      </c>
      <c r="E198" s="57">
        <f>115+149</f>
        <v>264</v>
      </c>
      <c r="F198" s="57">
        <f>111+131</f>
        <v>242</v>
      </c>
      <c r="G198" s="57">
        <f>109+95</f>
        <v>204</v>
      </c>
      <c r="H198" s="154">
        <f>108+130</f>
        <v>238</v>
      </c>
      <c r="I198" s="42">
        <f>146+107</f>
        <v>253</v>
      </c>
      <c r="J198" s="27">
        <f>AVERAGE(C198:I198)/2</f>
        <v>121.85714285714286</v>
      </c>
      <c r="K198" s="66"/>
      <c r="L198" s="66"/>
      <c r="M198" s="66"/>
      <c r="N198" s="66"/>
      <c r="O198" s="66"/>
      <c r="P198" s="57"/>
      <c r="Q198" s="57"/>
      <c r="R198" s="27"/>
      <c r="S198" s="61">
        <f>COUNTIF(C198:I198,"&gt;1")</f>
        <v>7</v>
      </c>
    </row>
    <row r="199" spans="1:20" s="6" customFormat="1" ht="15" x14ac:dyDescent="0.25">
      <c r="A199" s="78">
        <v>25</v>
      </c>
      <c r="B199" s="130" t="s">
        <v>118</v>
      </c>
      <c r="C199" s="23">
        <f>126+145</f>
        <v>271</v>
      </c>
      <c r="D199" s="57">
        <f>120+115</f>
        <v>235</v>
      </c>
      <c r="E199" s="57">
        <f>111+98</f>
        <v>209</v>
      </c>
      <c r="F199" s="57">
        <f>121+126</f>
        <v>247</v>
      </c>
      <c r="G199" s="57">
        <f>100+120</f>
        <v>220</v>
      </c>
      <c r="H199" s="154">
        <f>136+134</f>
        <v>270</v>
      </c>
      <c r="I199" s="42">
        <f>144+88</f>
        <v>232</v>
      </c>
      <c r="J199" s="27">
        <f>AVERAGE(C199:I199)/2</f>
        <v>120.28571428571429</v>
      </c>
      <c r="K199" s="66"/>
      <c r="L199" s="66"/>
      <c r="M199" s="66"/>
      <c r="N199" s="66"/>
      <c r="O199" s="66"/>
      <c r="P199" s="57"/>
      <c r="Q199" s="57"/>
      <c r="R199" s="27"/>
      <c r="S199" s="61">
        <f>COUNTIF(C199:I199,"&gt;1")</f>
        <v>7</v>
      </c>
    </row>
    <row r="200" spans="1:20" s="6" customFormat="1" ht="15" x14ac:dyDescent="0.25">
      <c r="A200" s="78">
        <v>25</v>
      </c>
      <c r="B200" s="88"/>
      <c r="C200" s="23">
        <v>0</v>
      </c>
      <c r="D200" s="57"/>
      <c r="E200" s="57"/>
      <c r="F200" s="57"/>
      <c r="G200" s="57"/>
      <c r="H200" s="154"/>
      <c r="I200" s="42"/>
      <c r="J200" s="27">
        <f>AVERAGE(C200:I200)/2</f>
        <v>0</v>
      </c>
      <c r="K200" s="66"/>
      <c r="L200" s="66"/>
      <c r="M200" s="66"/>
      <c r="N200" s="66"/>
      <c r="O200" s="66"/>
      <c r="P200" s="57"/>
      <c r="Q200" s="57"/>
      <c r="R200" s="27"/>
      <c r="S200" s="61">
        <f>COUNTIF(C200:I200,"&gt;1")</f>
        <v>0</v>
      </c>
    </row>
    <row r="201" spans="1:20" s="6" customFormat="1" ht="15.75" thickBot="1" x14ac:dyDescent="0.3">
      <c r="A201" s="79">
        <v>25</v>
      </c>
      <c r="B201" s="85" t="s">
        <v>15</v>
      </c>
      <c r="C201" s="70">
        <v>0</v>
      </c>
      <c r="D201" s="12"/>
      <c r="E201" s="12"/>
      <c r="F201" s="12"/>
      <c r="G201" s="12"/>
      <c r="H201" s="155"/>
      <c r="I201" s="43"/>
      <c r="J201" s="27">
        <f>AVERAGE(C201:I201)/2</f>
        <v>0</v>
      </c>
      <c r="K201" s="66"/>
      <c r="L201" s="66"/>
      <c r="M201" s="66"/>
      <c r="N201" s="66"/>
      <c r="O201" s="66"/>
      <c r="P201" s="57"/>
      <c r="Q201" s="57"/>
      <c r="R201" s="27"/>
      <c r="S201" s="61">
        <f>COUNTIF(C201:I201,"&gt;1")</f>
        <v>0</v>
      </c>
    </row>
    <row r="202" spans="1:20" s="6" customFormat="1" x14ac:dyDescent="0.2">
      <c r="A202" s="5"/>
      <c r="B202" s="8"/>
      <c r="C202" s="17"/>
      <c r="D202" s="17"/>
      <c r="E202" s="17"/>
      <c r="F202" s="17"/>
      <c r="G202" s="17"/>
      <c r="H202" s="17"/>
      <c r="I202" s="17"/>
      <c r="J202" s="60"/>
      <c r="K202" s="67"/>
      <c r="L202" s="67"/>
      <c r="M202" s="67"/>
      <c r="N202" s="67"/>
      <c r="O202" s="67"/>
      <c r="P202" s="17"/>
      <c r="Q202" s="17"/>
      <c r="R202" s="60">
        <f>SUM(C197:I201)/(S202*2)</f>
        <v>120.14285714285714</v>
      </c>
      <c r="S202" s="61">
        <f>SUM(S197:S201)</f>
        <v>21</v>
      </c>
      <c r="T202" s="8"/>
    </row>
    <row r="203" spans="1:20" s="6" customFormat="1" ht="13.5" thickBot="1" x14ac:dyDescent="0.25">
      <c r="A203" s="5"/>
      <c r="B203" s="8"/>
      <c r="C203" s="17"/>
      <c r="J203" s="4"/>
      <c r="K203" s="68"/>
      <c r="L203" s="68"/>
      <c r="M203" s="68"/>
      <c r="N203" s="68"/>
      <c r="O203" s="68"/>
      <c r="R203" s="4"/>
      <c r="S203" s="52"/>
    </row>
    <row r="204" spans="1:20" s="6" customFormat="1" ht="13.5" thickBot="1" x14ac:dyDescent="0.25">
      <c r="A204" s="77">
        <v>26</v>
      </c>
      <c r="B204" s="105" t="s">
        <v>69</v>
      </c>
      <c r="C204" s="73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5"/>
      <c r="R204" s="25"/>
      <c r="S204" s="61">
        <f>COUNTIF(K204:Q204,"&gt;1")</f>
        <v>0</v>
      </c>
    </row>
    <row r="205" spans="1:20" s="6" customFormat="1" ht="15" x14ac:dyDescent="0.25">
      <c r="A205" s="78">
        <v>26</v>
      </c>
      <c r="B205" s="129" t="s">
        <v>50</v>
      </c>
      <c r="C205" s="72">
        <f>84+72</f>
        <v>156</v>
      </c>
      <c r="D205" s="117">
        <v>153</v>
      </c>
      <c r="E205" s="24">
        <f>100+102</f>
        <v>202</v>
      </c>
      <c r="F205" s="24">
        <f>92+89</f>
        <v>181</v>
      </c>
      <c r="G205" s="24">
        <f>86+98</f>
        <v>184</v>
      </c>
      <c r="H205" s="153">
        <f>104+92</f>
        <v>196</v>
      </c>
      <c r="I205" s="71">
        <f>101+92</f>
        <v>193</v>
      </c>
      <c r="J205" s="27">
        <f>AVERAGE(C205:I205)/2</f>
        <v>90.357142857142861</v>
      </c>
      <c r="K205" s="65"/>
      <c r="L205" s="65"/>
      <c r="M205" s="65"/>
      <c r="N205" s="65"/>
      <c r="O205" s="65"/>
      <c r="P205" s="24"/>
      <c r="Q205" s="24"/>
      <c r="R205" s="27"/>
      <c r="S205" s="61">
        <f>COUNTIF(C205:I205,"&gt;1")</f>
        <v>7</v>
      </c>
    </row>
    <row r="206" spans="1:20" s="6" customFormat="1" ht="15" x14ac:dyDescent="0.25">
      <c r="A206" s="78">
        <v>26</v>
      </c>
      <c r="B206" s="130" t="s">
        <v>95</v>
      </c>
      <c r="C206" s="23">
        <f>46+48</f>
        <v>94</v>
      </c>
      <c r="D206" s="57">
        <v>204</v>
      </c>
      <c r="E206" s="57">
        <f>55+44</f>
        <v>99</v>
      </c>
      <c r="F206" s="57">
        <f>57+129</f>
        <v>186</v>
      </c>
      <c r="G206" s="57">
        <f>93+70</f>
        <v>163</v>
      </c>
      <c r="H206" s="154">
        <f>69+65</f>
        <v>134</v>
      </c>
      <c r="I206" s="42">
        <f>97+93</f>
        <v>190</v>
      </c>
      <c r="J206" s="27">
        <f>AVERAGE(C206:I206)/2</f>
        <v>76.428571428571431</v>
      </c>
      <c r="K206" s="66"/>
      <c r="L206" s="66"/>
      <c r="M206" s="66"/>
      <c r="N206" s="66"/>
      <c r="O206" s="66"/>
      <c r="P206" s="57"/>
      <c r="Q206" s="57"/>
      <c r="R206" s="27"/>
      <c r="S206" s="61">
        <f>COUNTIF(C206:I206,"&gt;1")</f>
        <v>7</v>
      </c>
    </row>
    <row r="207" spans="1:20" s="6" customFormat="1" ht="15" x14ac:dyDescent="0.25">
      <c r="A207" s="78">
        <v>26</v>
      </c>
      <c r="B207" s="130" t="s">
        <v>96</v>
      </c>
      <c r="C207" s="23">
        <f>47+49</f>
        <v>96</v>
      </c>
      <c r="D207" s="57">
        <v>170</v>
      </c>
      <c r="E207" s="57">
        <f>92+90</f>
        <v>182</v>
      </c>
      <c r="F207" s="57">
        <f>91+66</f>
        <v>157</v>
      </c>
      <c r="G207" s="57">
        <f>108+104</f>
        <v>212</v>
      </c>
      <c r="H207" s="154">
        <f>112+77</f>
        <v>189</v>
      </c>
      <c r="I207" s="42">
        <f>104+71</f>
        <v>175</v>
      </c>
      <c r="J207" s="27">
        <f>AVERAGE(C207:I207)/2</f>
        <v>84.357142857142861</v>
      </c>
      <c r="K207" s="66"/>
      <c r="L207" s="66"/>
      <c r="M207" s="66"/>
      <c r="N207" s="66"/>
      <c r="O207" s="66"/>
      <c r="P207" s="57"/>
      <c r="Q207" s="57"/>
      <c r="R207" s="27"/>
      <c r="S207" s="61">
        <f>COUNTIF(C207:I207,"&gt;1")</f>
        <v>7</v>
      </c>
    </row>
    <row r="208" spans="1:20" s="6" customFormat="1" ht="15" x14ac:dyDescent="0.25">
      <c r="A208" s="78">
        <v>26</v>
      </c>
      <c r="B208" s="130" t="s">
        <v>97</v>
      </c>
      <c r="C208" s="23">
        <f>76+45</f>
        <v>121</v>
      </c>
      <c r="D208" s="57">
        <v>158</v>
      </c>
      <c r="E208" s="57">
        <f>71+51</f>
        <v>122</v>
      </c>
      <c r="F208" s="57">
        <f>76+84</f>
        <v>160</v>
      </c>
      <c r="G208" s="57">
        <f>84+66</f>
        <v>150</v>
      </c>
      <c r="H208" s="154">
        <f>80+62</f>
        <v>142</v>
      </c>
      <c r="I208" s="42">
        <f>71+101</f>
        <v>172</v>
      </c>
      <c r="J208" s="27">
        <f>AVERAGE(C208:I208)/2</f>
        <v>73.214285714285708</v>
      </c>
      <c r="K208" s="66"/>
      <c r="L208" s="66"/>
      <c r="M208" s="66"/>
      <c r="N208" s="66"/>
      <c r="O208" s="66"/>
      <c r="P208" s="57"/>
      <c r="Q208" s="57"/>
      <c r="R208" s="27"/>
      <c r="S208" s="61">
        <f>COUNTIF(C208:I208,"&gt;1")</f>
        <v>7</v>
      </c>
    </row>
    <row r="209" spans="1:23" s="6" customFormat="1" ht="15.75" thickBot="1" x14ac:dyDescent="0.3">
      <c r="A209" s="79">
        <v>26</v>
      </c>
      <c r="B209" s="85" t="s">
        <v>15</v>
      </c>
      <c r="C209" s="70">
        <v>0</v>
      </c>
      <c r="D209" s="12"/>
      <c r="E209" s="12"/>
      <c r="F209" s="12"/>
      <c r="G209" s="12"/>
      <c r="H209" s="155"/>
      <c r="I209" s="43"/>
      <c r="J209" s="27">
        <f>AVERAGE(C209:I209)/2</f>
        <v>0</v>
      </c>
      <c r="K209" s="66"/>
      <c r="L209" s="66"/>
      <c r="M209" s="66"/>
      <c r="N209" s="66"/>
      <c r="O209" s="66"/>
      <c r="P209" s="57"/>
      <c r="Q209" s="57"/>
      <c r="R209" s="27"/>
      <c r="S209" s="61">
        <f>COUNTIF(C209:I209,"&gt;1")</f>
        <v>0</v>
      </c>
    </row>
    <row r="210" spans="1:23" s="6" customFormat="1" x14ac:dyDescent="0.2">
      <c r="A210" s="5"/>
      <c r="C210" s="17"/>
      <c r="D210" s="17"/>
      <c r="E210" s="17"/>
      <c r="F210" s="17"/>
      <c r="G210" s="17"/>
      <c r="H210" s="17"/>
      <c r="I210" s="17"/>
      <c r="J210" s="60"/>
      <c r="K210" s="67"/>
      <c r="L210" s="67"/>
      <c r="M210" s="67"/>
      <c r="N210" s="67"/>
      <c r="O210" s="67"/>
      <c r="P210" s="17"/>
      <c r="Q210" s="17"/>
      <c r="R210" s="60">
        <f>SUM(C205:I209)/(S210*2)</f>
        <v>81.089285714285708</v>
      </c>
      <c r="S210" s="61">
        <f>SUM(S205:S209)</f>
        <v>28</v>
      </c>
    </row>
    <row r="211" spans="1:23" s="6" customFormat="1" ht="13.5" thickBot="1" x14ac:dyDescent="0.25">
      <c r="A211" s="5"/>
      <c r="C211" s="17"/>
      <c r="J211" s="4"/>
      <c r="K211" s="68"/>
      <c r="L211" s="68"/>
      <c r="M211" s="68"/>
      <c r="N211" s="68"/>
      <c r="O211" s="68"/>
      <c r="R211" s="4"/>
      <c r="S211" s="52"/>
    </row>
    <row r="212" spans="1:23" s="6" customFormat="1" ht="13.5" thickBot="1" x14ac:dyDescent="0.25">
      <c r="A212" s="77">
        <v>27</v>
      </c>
      <c r="B212" s="105" t="s">
        <v>70</v>
      </c>
      <c r="C212" s="73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5"/>
      <c r="R212" s="25"/>
      <c r="S212" s="52"/>
    </row>
    <row r="213" spans="1:23" s="6" customFormat="1" ht="15" x14ac:dyDescent="0.25">
      <c r="A213" s="78">
        <v>27</v>
      </c>
      <c r="B213" s="129" t="s">
        <v>98</v>
      </c>
      <c r="C213" s="72">
        <f>103+105</f>
        <v>208</v>
      </c>
      <c r="D213" s="24">
        <v>239</v>
      </c>
      <c r="E213" s="24">
        <f>92+105</f>
        <v>197</v>
      </c>
      <c r="F213" s="24">
        <f>106+92</f>
        <v>198</v>
      </c>
      <c r="G213" s="24">
        <f>114+120</f>
        <v>234</v>
      </c>
      <c r="H213" s="153">
        <f>87+112</f>
        <v>199</v>
      </c>
      <c r="I213" s="71">
        <f>138+102</f>
        <v>240</v>
      </c>
      <c r="J213" s="27">
        <f>AVERAGE(C213:I213)/2</f>
        <v>108.21428571428571</v>
      </c>
      <c r="K213" s="65"/>
      <c r="L213" s="65"/>
      <c r="M213" s="65"/>
      <c r="N213" s="65"/>
      <c r="O213" s="65"/>
      <c r="P213" s="24"/>
      <c r="Q213" s="24"/>
      <c r="R213" s="27"/>
      <c r="S213" s="61">
        <f>COUNTIF(C213:I213,"&gt;1")</f>
        <v>7</v>
      </c>
      <c r="W213" s="92"/>
    </row>
    <row r="214" spans="1:23" s="6" customFormat="1" ht="15" x14ac:dyDescent="0.25">
      <c r="A214" s="78">
        <v>27</v>
      </c>
      <c r="B214" s="130" t="s">
        <v>99</v>
      </c>
      <c r="C214" s="23">
        <f>119+64</f>
        <v>183</v>
      </c>
      <c r="D214" s="57">
        <v>257</v>
      </c>
      <c r="E214" s="57">
        <f>99+86</f>
        <v>185</v>
      </c>
      <c r="F214" s="57">
        <f>134+107</f>
        <v>241</v>
      </c>
      <c r="G214" s="57">
        <f>111+112</f>
        <v>223</v>
      </c>
      <c r="H214" s="154">
        <f>128+102</f>
        <v>230</v>
      </c>
      <c r="I214" s="42">
        <f>113+128</f>
        <v>241</v>
      </c>
      <c r="J214" s="27">
        <f>AVERAGE(C214:I214)/2</f>
        <v>111.42857142857143</v>
      </c>
      <c r="K214" s="66"/>
      <c r="L214" s="66"/>
      <c r="M214" s="66"/>
      <c r="N214" s="66"/>
      <c r="O214" s="66"/>
      <c r="P214" s="57"/>
      <c r="Q214" s="57"/>
      <c r="R214" s="27"/>
      <c r="S214" s="61">
        <f>COUNTIF(C214:I214,"&gt;1")</f>
        <v>7</v>
      </c>
    </row>
    <row r="215" spans="1:23" s="6" customFormat="1" ht="15" x14ac:dyDescent="0.25">
      <c r="A215" s="78">
        <v>27</v>
      </c>
      <c r="B215" s="130" t="s">
        <v>100</v>
      </c>
      <c r="C215" s="23">
        <f>120+143</f>
        <v>263</v>
      </c>
      <c r="D215" s="57">
        <v>276</v>
      </c>
      <c r="E215" s="57">
        <f>74+78</f>
        <v>152</v>
      </c>
      <c r="F215" s="57">
        <f>84+92</f>
        <v>176</v>
      </c>
      <c r="G215" s="57">
        <f>82+86</f>
        <v>168</v>
      </c>
      <c r="H215" s="154">
        <f>124+153</f>
        <v>277</v>
      </c>
      <c r="I215" s="42">
        <f>62+121</f>
        <v>183</v>
      </c>
      <c r="J215" s="27">
        <f>AVERAGE(C215:I215)/2</f>
        <v>106.78571428571429</v>
      </c>
      <c r="K215" s="66"/>
      <c r="L215" s="66"/>
      <c r="M215" s="66"/>
      <c r="N215" s="66"/>
      <c r="O215" s="66"/>
      <c r="P215" s="57"/>
      <c r="Q215" s="57"/>
      <c r="R215" s="27"/>
      <c r="S215" s="61">
        <f>COUNTIF(C215:I215,"&gt;1")</f>
        <v>7</v>
      </c>
    </row>
    <row r="216" spans="1:23" s="6" customFormat="1" ht="15" x14ac:dyDescent="0.25">
      <c r="A216" s="78">
        <v>27</v>
      </c>
      <c r="B216" s="130" t="s">
        <v>30</v>
      </c>
      <c r="C216" s="23">
        <f>99+139</f>
        <v>238</v>
      </c>
      <c r="D216" s="57">
        <v>172</v>
      </c>
      <c r="E216" s="57">
        <f>58+70</f>
        <v>128</v>
      </c>
      <c r="F216" s="57">
        <f>90+80</f>
        <v>170</v>
      </c>
      <c r="G216" s="57">
        <f>102+90</f>
        <v>192</v>
      </c>
      <c r="H216" s="154">
        <f>77+115</f>
        <v>192</v>
      </c>
      <c r="I216" s="42">
        <f>57+78</f>
        <v>135</v>
      </c>
      <c r="J216" s="27">
        <f>AVERAGE(C216:I216)/2</f>
        <v>87.642857142857139</v>
      </c>
      <c r="K216" s="66"/>
      <c r="L216" s="66"/>
      <c r="M216" s="66"/>
      <c r="N216" s="66"/>
      <c r="O216" s="66"/>
      <c r="P216" s="57"/>
      <c r="Q216" s="57"/>
      <c r="R216" s="27"/>
      <c r="S216" s="61">
        <f>COUNTIF(C216:I216,"&gt;1")</f>
        <v>7</v>
      </c>
    </row>
    <row r="217" spans="1:23" s="6" customFormat="1" ht="15.75" thickBot="1" x14ac:dyDescent="0.3">
      <c r="A217" s="79">
        <v>27</v>
      </c>
      <c r="B217" s="85" t="s">
        <v>15</v>
      </c>
      <c r="C217" s="70">
        <v>0</v>
      </c>
      <c r="D217" s="12"/>
      <c r="E217" s="12"/>
      <c r="F217" s="12"/>
      <c r="G217" s="12"/>
      <c r="H217" s="155"/>
      <c r="I217" s="43"/>
      <c r="J217" s="27">
        <f>AVERAGE(C217:I217)/2</f>
        <v>0</v>
      </c>
      <c r="K217" s="66"/>
      <c r="L217" s="66"/>
      <c r="M217" s="66"/>
      <c r="N217" s="66"/>
      <c r="O217" s="66"/>
      <c r="P217" s="57"/>
      <c r="Q217" s="57"/>
      <c r="R217" s="27"/>
      <c r="S217" s="61">
        <f>COUNTIF(C217:I217,"&gt;1")</f>
        <v>0</v>
      </c>
    </row>
    <row r="218" spans="1:23" s="6" customFormat="1" x14ac:dyDescent="0.2">
      <c r="A218" s="5"/>
      <c r="C218" s="17"/>
      <c r="D218" s="17"/>
      <c r="E218" s="17"/>
      <c r="F218" s="17"/>
      <c r="G218" s="17"/>
      <c r="H218" s="17"/>
      <c r="I218" s="17"/>
      <c r="J218" s="60"/>
      <c r="K218" s="67"/>
      <c r="L218" s="67"/>
      <c r="M218" s="67"/>
      <c r="N218" s="67"/>
      <c r="O218" s="67"/>
      <c r="P218" s="17"/>
      <c r="Q218" s="17"/>
      <c r="R218" s="60">
        <f>SUM(C213:I217)/(S218*2)</f>
        <v>103.51785714285714</v>
      </c>
      <c r="S218" s="61">
        <f>SUM(S213:S217)</f>
        <v>28</v>
      </c>
    </row>
    <row r="219" spans="1:23" s="6" customFormat="1" ht="13.5" thickBot="1" x14ac:dyDescent="0.25">
      <c r="A219" s="5"/>
      <c r="C219" s="17"/>
      <c r="J219" s="4"/>
      <c r="K219" s="68"/>
      <c r="L219" s="68"/>
      <c r="M219" s="68"/>
      <c r="N219" s="68"/>
      <c r="O219" s="68"/>
      <c r="R219" s="4"/>
      <c r="S219" s="52"/>
    </row>
    <row r="220" spans="1:23" s="6" customFormat="1" ht="13.5" thickBot="1" x14ac:dyDescent="0.25">
      <c r="A220" s="77">
        <v>28</v>
      </c>
      <c r="B220" s="105" t="s">
        <v>84</v>
      </c>
      <c r="C220" s="73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5"/>
      <c r="R220" s="25"/>
      <c r="S220" s="61">
        <f>COUNTIF(K220:Q220,"&gt;1")</f>
        <v>0</v>
      </c>
    </row>
    <row r="221" spans="1:23" s="6" customFormat="1" ht="15" x14ac:dyDescent="0.25">
      <c r="A221" s="78">
        <v>28</v>
      </c>
      <c r="B221" s="129" t="s">
        <v>119</v>
      </c>
      <c r="C221" s="72">
        <f>78+93</f>
        <v>171</v>
      </c>
      <c r="D221" s="24"/>
      <c r="E221" s="24">
        <f>92+99</f>
        <v>191</v>
      </c>
      <c r="F221" s="24">
        <f>84+76</f>
        <v>160</v>
      </c>
      <c r="G221" s="24">
        <f>81+116</f>
        <v>197</v>
      </c>
      <c r="H221" s="153">
        <f>108+121</f>
        <v>229</v>
      </c>
      <c r="I221" s="71">
        <f>102+132</f>
        <v>234</v>
      </c>
      <c r="J221" s="27">
        <f>AVERAGE(C221:I221)/2</f>
        <v>98.5</v>
      </c>
      <c r="K221" s="65"/>
      <c r="L221" s="65"/>
      <c r="M221" s="65"/>
      <c r="N221" s="65"/>
      <c r="O221" s="65"/>
      <c r="P221" s="24"/>
      <c r="Q221" s="24"/>
      <c r="R221" s="27"/>
      <c r="S221" s="61">
        <f>COUNTIF(C221:I221,"&gt;1")</f>
        <v>6</v>
      </c>
    </row>
    <row r="222" spans="1:23" s="6" customFormat="1" ht="15" x14ac:dyDescent="0.25">
      <c r="A222" s="78">
        <v>28</v>
      </c>
      <c r="B222" s="130" t="s">
        <v>120</v>
      </c>
      <c r="C222" s="23">
        <f>127+92</f>
        <v>219</v>
      </c>
      <c r="D222" s="57">
        <f>154+96</f>
        <v>250</v>
      </c>
      <c r="E222" s="57">
        <f>129+114</f>
        <v>243</v>
      </c>
      <c r="F222" s="57">
        <f>102+87</f>
        <v>189</v>
      </c>
      <c r="G222" s="57">
        <f>132+94</f>
        <v>226</v>
      </c>
      <c r="H222" s="154">
        <f>95+137</f>
        <v>232</v>
      </c>
      <c r="I222" s="42">
        <f>94+79</f>
        <v>173</v>
      </c>
      <c r="J222" s="27">
        <f>AVERAGE(C222:I222)/2</f>
        <v>109.42857142857143</v>
      </c>
      <c r="K222" s="66"/>
      <c r="L222" s="66"/>
      <c r="M222" s="66"/>
      <c r="N222" s="66"/>
      <c r="O222" s="66"/>
      <c r="P222" s="57"/>
      <c r="Q222" s="57"/>
      <c r="R222" s="27"/>
      <c r="S222" s="61">
        <f>COUNTIF(C222:I222,"&gt;1")</f>
        <v>7</v>
      </c>
    </row>
    <row r="223" spans="1:23" s="6" customFormat="1" ht="15" x14ac:dyDescent="0.25">
      <c r="A223" s="78">
        <v>28</v>
      </c>
      <c r="B223" s="130" t="s">
        <v>121</v>
      </c>
      <c r="C223" s="23">
        <f>64+86</f>
        <v>150</v>
      </c>
      <c r="D223" s="57">
        <f>151+111</f>
        <v>262</v>
      </c>
      <c r="E223" s="57">
        <f>76+69</f>
        <v>145</v>
      </c>
      <c r="F223" s="57">
        <f>86+87</f>
        <v>173</v>
      </c>
      <c r="G223" s="57">
        <f>101+80</f>
        <v>181</v>
      </c>
      <c r="H223" s="154">
        <f>94+78</f>
        <v>172</v>
      </c>
      <c r="I223" s="42">
        <f>96+87</f>
        <v>183</v>
      </c>
      <c r="J223" s="27">
        <f>AVERAGE(C223:I223)/2</f>
        <v>90.428571428571431</v>
      </c>
      <c r="K223" s="66"/>
      <c r="L223" s="66"/>
      <c r="M223" s="66"/>
      <c r="N223" s="66"/>
      <c r="O223" s="66"/>
      <c r="P223" s="57"/>
      <c r="Q223" s="57"/>
      <c r="R223" s="27"/>
      <c r="S223" s="61">
        <f>COUNTIF(C223:I223,"&gt;1")</f>
        <v>7</v>
      </c>
    </row>
    <row r="224" spans="1:23" s="6" customFormat="1" ht="15" x14ac:dyDescent="0.25">
      <c r="A224" s="78">
        <v>28</v>
      </c>
      <c r="B224" s="148" t="s">
        <v>139</v>
      </c>
      <c r="C224" s="23"/>
      <c r="D224" s="57">
        <f>80+142</f>
        <v>222</v>
      </c>
      <c r="E224" s="57"/>
      <c r="F224" s="57">
        <f>111+124</f>
        <v>235</v>
      </c>
      <c r="G224" s="57"/>
      <c r="H224" s="154"/>
      <c r="I224" s="42"/>
      <c r="J224" s="27">
        <f>AVERAGE(C224:I224)/2</f>
        <v>114.25</v>
      </c>
      <c r="K224" s="66"/>
      <c r="L224" s="66"/>
      <c r="M224" s="66"/>
      <c r="N224" s="66"/>
      <c r="O224" s="66"/>
      <c r="P224" s="57"/>
      <c r="Q224" s="57"/>
      <c r="R224" s="27"/>
      <c r="S224" s="61">
        <f>COUNTIF(C224:I224,"&gt;1")</f>
        <v>2</v>
      </c>
    </row>
    <row r="225" spans="1:19" s="6" customFormat="1" ht="15.75" thickBot="1" x14ac:dyDescent="0.3">
      <c r="A225" s="79">
        <v>28</v>
      </c>
      <c r="B225" s="116" t="s">
        <v>68</v>
      </c>
      <c r="C225" s="70">
        <v>0</v>
      </c>
      <c r="D225" s="12"/>
      <c r="E225" s="12"/>
      <c r="F225" s="12"/>
      <c r="G225" s="12"/>
      <c r="H225" s="155"/>
      <c r="I225" s="43"/>
      <c r="J225" s="27">
        <f>AVERAGE(C225:I225)/2</f>
        <v>0</v>
      </c>
      <c r="K225" s="66"/>
      <c r="L225" s="66"/>
      <c r="M225" s="66"/>
      <c r="N225" s="66"/>
      <c r="O225" s="66"/>
      <c r="P225" s="57"/>
      <c r="Q225" s="57"/>
      <c r="R225" s="27"/>
      <c r="S225" s="61">
        <f>COUNTIF(C225:I225,"&gt;1")</f>
        <v>0</v>
      </c>
    </row>
    <row r="226" spans="1:19" s="6" customFormat="1" x14ac:dyDescent="0.2">
      <c r="A226" s="5"/>
      <c r="C226" s="17"/>
      <c r="D226" s="17"/>
      <c r="E226" s="17"/>
      <c r="F226" s="17"/>
      <c r="G226" s="17"/>
      <c r="H226" s="17"/>
      <c r="I226" s="17"/>
      <c r="J226" s="60"/>
      <c r="K226" s="67"/>
      <c r="L226" s="67"/>
      <c r="M226" s="67"/>
      <c r="N226" s="67"/>
      <c r="O226" s="67"/>
      <c r="P226" s="17"/>
      <c r="Q226" s="17"/>
      <c r="R226" s="60">
        <f>SUM(C221:I225)/(S226*2)</f>
        <v>100.84090909090909</v>
      </c>
      <c r="S226" s="61">
        <f>SUM(S221:S225)</f>
        <v>22</v>
      </c>
    </row>
    <row r="227" spans="1:19" s="6" customFormat="1" ht="13.5" thickBot="1" x14ac:dyDescent="0.25">
      <c r="A227" s="5"/>
      <c r="C227" s="17"/>
      <c r="J227" s="4"/>
      <c r="K227" s="68"/>
      <c r="L227" s="68"/>
      <c r="M227" s="68"/>
      <c r="N227" s="68"/>
      <c r="O227" s="68"/>
      <c r="R227" s="4"/>
      <c r="S227" s="52"/>
    </row>
    <row r="228" spans="1:19" s="6" customFormat="1" ht="13.5" thickBot="1" x14ac:dyDescent="0.25">
      <c r="A228" s="77">
        <v>29</v>
      </c>
      <c r="B228" s="105" t="s">
        <v>85</v>
      </c>
      <c r="C228" s="73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5"/>
      <c r="R228" s="25"/>
      <c r="S228" s="61">
        <f>COUNTIF(K228:Q228,"&gt;1")</f>
        <v>0</v>
      </c>
    </row>
    <row r="229" spans="1:19" s="6" customFormat="1" ht="15" x14ac:dyDescent="0.25">
      <c r="A229" s="78">
        <v>29</v>
      </c>
      <c r="B229" s="129" t="s">
        <v>122</v>
      </c>
      <c r="C229" s="72">
        <f>106+123</f>
        <v>229</v>
      </c>
      <c r="D229" s="24">
        <v>269</v>
      </c>
      <c r="E229" s="24">
        <f>135+128</f>
        <v>263</v>
      </c>
      <c r="F229" s="24">
        <f>102+120</f>
        <v>222</v>
      </c>
      <c r="G229" s="24">
        <f>137+132</f>
        <v>269</v>
      </c>
      <c r="H229" s="153">
        <f>119+130</f>
        <v>249</v>
      </c>
      <c r="I229" s="71">
        <f>124+128</f>
        <v>252</v>
      </c>
      <c r="J229" s="27">
        <f>AVERAGE(C229:I229)/2</f>
        <v>125.21428571428571</v>
      </c>
      <c r="K229" s="65"/>
      <c r="L229" s="65"/>
      <c r="M229" s="65"/>
      <c r="N229" s="65"/>
      <c r="O229" s="65"/>
      <c r="P229" s="24"/>
      <c r="Q229" s="24"/>
      <c r="R229" s="27"/>
      <c r="S229" s="61">
        <f>COUNTIF(C229:I229,"&gt;1")</f>
        <v>7</v>
      </c>
    </row>
    <row r="230" spans="1:19" s="6" customFormat="1" ht="15" x14ac:dyDescent="0.25">
      <c r="A230" s="78">
        <v>29</v>
      </c>
      <c r="B230" s="130" t="s">
        <v>62</v>
      </c>
      <c r="C230" s="23">
        <f>128+134</f>
        <v>262</v>
      </c>
      <c r="D230" s="57">
        <v>201</v>
      </c>
      <c r="E230" s="57">
        <f>139+98</f>
        <v>237</v>
      </c>
      <c r="F230" s="57"/>
      <c r="G230" s="57">
        <f>105+131</f>
        <v>236</v>
      </c>
      <c r="H230" s="154">
        <f>133+92</f>
        <v>225</v>
      </c>
      <c r="I230" s="42">
        <f>103+132</f>
        <v>235</v>
      </c>
      <c r="J230" s="27">
        <f>AVERAGE(C230:I230)/2</f>
        <v>116.33333333333333</v>
      </c>
      <c r="K230" s="66"/>
      <c r="L230" s="66"/>
      <c r="M230" s="66"/>
      <c r="N230" s="66"/>
      <c r="O230" s="66"/>
      <c r="P230" s="57"/>
      <c r="Q230" s="57"/>
      <c r="R230" s="27"/>
      <c r="S230" s="61">
        <f>COUNTIF(C230:I230,"&gt;1")</f>
        <v>6</v>
      </c>
    </row>
    <row r="231" spans="1:19" s="6" customFormat="1" ht="15" x14ac:dyDescent="0.25">
      <c r="A231" s="78">
        <v>29</v>
      </c>
      <c r="B231" s="130" t="s">
        <v>123</v>
      </c>
      <c r="C231" s="23">
        <f>120+85</f>
        <v>205</v>
      </c>
      <c r="D231" s="57">
        <v>160</v>
      </c>
      <c r="E231" s="57">
        <f>81+99</f>
        <v>180</v>
      </c>
      <c r="F231" s="57">
        <f>136+144</f>
        <v>280</v>
      </c>
      <c r="G231" s="57">
        <f>128+121</f>
        <v>249</v>
      </c>
      <c r="H231" s="154">
        <f>185+162</f>
        <v>347</v>
      </c>
      <c r="I231" s="42">
        <f>150+127</f>
        <v>277</v>
      </c>
      <c r="J231" s="27">
        <f>AVERAGE(C231:I231)/2</f>
        <v>121.28571428571429</v>
      </c>
      <c r="K231" s="66"/>
      <c r="L231" s="66"/>
      <c r="M231" s="66"/>
      <c r="N231" s="66"/>
      <c r="O231" s="66"/>
      <c r="P231" s="57"/>
      <c r="Q231" s="57"/>
      <c r="R231" s="27"/>
      <c r="S231" s="61">
        <f>COUNTIF(C231:I231,"&gt;1")</f>
        <v>7</v>
      </c>
    </row>
    <row r="232" spans="1:19" s="6" customFormat="1" ht="15" x14ac:dyDescent="0.25">
      <c r="A232" s="78">
        <v>29</v>
      </c>
      <c r="B232" s="130" t="s">
        <v>124</v>
      </c>
      <c r="C232" s="23">
        <f>122+123</f>
        <v>245</v>
      </c>
      <c r="D232" s="57">
        <v>204</v>
      </c>
      <c r="E232" s="57">
        <f>117+113</f>
        <v>230</v>
      </c>
      <c r="F232" s="57">
        <f>110+157</f>
        <v>267</v>
      </c>
      <c r="G232" s="57">
        <f>105+141</f>
        <v>246</v>
      </c>
      <c r="H232" s="154">
        <f>146+137</f>
        <v>283</v>
      </c>
      <c r="I232" s="42">
        <f>88+120</f>
        <v>208</v>
      </c>
      <c r="J232" s="27">
        <f>AVERAGE(C232:I232)/2</f>
        <v>120.21428571428571</v>
      </c>
      <c r="K232" s="66"/>
      <c r="L232" s="66"/>
      <c r="M232" s="66"/>
      <c r="N232" s="66"/>
      <c r="O232" s="66"/>
      <c r="P232" s="57"/>
      <c r="Q232" s="57"/>
      <c r="R232" s="27"/>
      <c r="S232" s="61">
        <f>COUNTIF(C232:I232,"&gt;1")</f>
        <v>7</v>
      </c>
    </row>
    <row r="233" spans="1:19" s="6" customFormat="1" ht="15.75" thickBot="1" x14ac:dyDescent="0.3">
      <c r="A233" s="79">
        <v>29</v>
      </c>
      <c r="B233" s="85" t="s">
        <v>15</v>
      </c>
      <c r="C233" s="70">
        <v>0</v>
      </c>
      <c r="D233" s="12"/>
      <c r="E233" s="12"/>
      <c r="F233" s="12"/>
      <c r="G233" s="12"/>
      <c r="H233" s="155"/>
      <c r="I233" s="43"/>
      <c r="J233" s="27">
        <f>AVERAGE(C233:I233)/2</f>
        <v>0</v>
      </c>
      <c r="K233" s="66"/>
      <c r="L233" s="66"/>
      <c r="M233" s="66"/>
      <c r="N233" s="66"/>
      <c r="O233" s="66"/>
      <c r="P233" s="57"/>
      <c r="Q233" s="57"/>
      <c r="R233" s="27"/>
      <c r="S233" s="61">
        <f>COUNTIF(C233:I233,"&gt;1")</f>
        <v>0</v>
      </c>
    </row>
    <row r="234" spans="1:19" s="6" customFormat="1" x14ac:dyDescent="0.2">
      <c r="A234" s="5"/>
      <c r="C234" s="17"/>
      <c r="D234" s="17"/>
      <c r="E234" s="17"/>
      <c r="F234" s="17"/>
      <c r="G234" s="17"/>
      <c r="H234" s="17"/>
      <c r="I234" s="17"/>
      <c r="J234" s="60"/>
      <c r="K234" s="67"/>
      <c r="L234" s="67"/>
      <c r="M234" s="67"/>
      <c r="N234" s="67"/>
      <c r="O234" s="67"/>
      <c r="P234" s="17"/>
      <c r="Q234" s="17"/>
      <c r="R234" s="60">
        <f>SUM(C229:I233)/(S234*2)</f>
        <v>120.92592592592592</v>
      </c>
      <c r="S234" s="61">
        <f>SUM(S229:S233)</f>
        <v>27</v>
      </c>
    </row>
    <row r="235" spans="1:19" s="6" customFormat="1" ht="13.5" thickBot="1" x14ac:dyDescent="0.25">
      <c r="A235" s="5"/>
      <c r="C235" s="17"/>
      <c r="J235" s="4"/>
      <c r="K235" s="68"/>
      <c r="L235" s="68"/>
      <c r="M235" s="68"/>
      <c r="N235" s="68"/>
      <c r="O235" s="68"/>
      <c r="R235" s="4"/>
      <c r="S235" s="52"/>
    </row>
    <row r="236" spans="1:19" s="6" customFormat="1" ht="13.5" thickBot="1" x14ac:dyDescent="0.25">
      <c r="A236" s="77">
        <v>30</v>
      </c>
      <c r="B236" s="135" t="s">
        <v>116</v>
      </c>
      <c r="C236" s="73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5"/>
      <c r="R236" s="25"/>
      <c r="S236" s="52"/>
    </row>
    <row r="237" spans="1:19" s="6" customFormat="1" ht="15" x14ac:dyDescent="0.25">
      <c r="A237" s="78">
        <v>30</v>
      </c>
      <c r="B237" s="141" t="s">
        <v>128</v>
      </c>
      <c r="C237" s="72">
        <v>181</v>
      </c>
      <c r="D237" s="24">
        <f>79+94</f>
        <v>173</v>
      </c>
      <c r="E237" s="24">
        <f>112+95</f>
        <v>207</v>
      </c>
      <c r="F237" s="24">
        <f>69+87</f>
        <v>156</v>
      </c>
      <c r="G237" s="24">
        <f>109+112</f>
        <v>221</v>
      </c>
      <c r="H237" s="153">
        <f>86+92</f>
        <v>178</v>
      </c>
      <c r="I237" s="71">
        <f>131+99</f>
        <v>230</v>
      </c>
      <c r="J237" s="27">
        <f>AVERAGE(C237:I237)/2</f>
        <v>96.142857142857139</v>
      </c>
      <c r="K237" s="65"/>
      <c r="L237" s="65"/>
      <c r="M237" s="65"/>
      <c r="N237" s="65"/>
      <c r="O237" s="65"/>
      <c r="P237" s="24"/>
      <c r="Q237" s="24"/>
      <c r="R237" s="27"/>
      <c r="S237" s="61">
        <f>COUNTIF(C237:I237,"&gt;1")</f>
        <v>7</v>
      </c>
    </row>
    <row r="238" spans="1:19" s="6" customFormat="1" ht="15" x14ac:dyDescent="0.25">
      <c r="A238" s="78">
        <v>30</v>
      </c>
      <c r="B238" s="142" t="s">
        <v>94</v>
      </c>
      <c r="C238" s="23">
        <v>202</v>
      </c>
      <c r="D238" s="57">
        <f>132+109</f>
        <v>241</v>
      </c>
      <c r="E238" s="57">
        <f>93+101</f>
        <v>194</v>
      </c>
      <c r="F238" s="57">
        <f>107+95</f>
        <v>202</v>
      </c>
      <c r="G238" s="57">
        <f>119+117</f>
        <v>236</v>
      </c>
      <c r="H238" s="154">
        <f>110+134</f>
        <v>244</v>
      </c>
      <c r="I238" s="42"/>
      <c r="J238" s="27">
        <f>AVERAGE(C238:I238)/2</f>
        <v>109.91666666666667</v>
      </c>
      <c r="K238" s="66"/>
      <c r="L238" s="66"/>
      <c r="M238" s="66"/>
      <c r="N238" s="66"/>
      <c r="O238" s="66"/>
      <c r="P238" s="57"/>
      <c r="Q238" s="57"/>
      <c r="R238" s="27"/>
      <c r="S238" s="61">
        <f>COUNTIF(C238:I238,"&gt;1")</f>
        <v>6</v>
      </c>
    </row>
    <row r="239" spans="1:19" s="6" customFormat="1" ht="15" x14ac:dyDescent="0.25">
      <c r="A239" s="78">
        <v>30</v>
      </c>
      <c r="B239" s="142" t="s">
        <v>129</v>
      </c>
      <c r="C239" s="23">
        <v>167</v>
      </c>
      <c r="D239" s="57">
        <f>86+99</f>
        <v>185</v>
      </c>
      <c r="E239" s="57">
        <f>76+70</f>
        <v>146</v>
      </c>
      <c r="F239" s="57"/>
      <c r="G239" s="57">
        <f>95+82</f>
        <v>177</v>
      </c>
      <c r="H239" s="154">
        <f>86+122</f>
        <v>208</v>
      </c>
      <c r="I239" s="42">
        <f>98+86</f>
        <v>184</v>
      </c>
      <c r="J239" s="27">
        <f>AVERAGE(C239:I239)/2</f>
        <v>88.916666666666671</v>
      </c>
      <c r="K239" s="66"/>
      <c r="L239" s="66"/>
      <c r="M239" s="66"/>
      <c r="N239" s="66"/>
      <c r="O239" s="66"/>
      <c r="P239" s="57"/>
      <c r="Q239" s="57"/>
      <c r="R239" s="27"/>
      <c r="S239" s="61">
        <f>COUNTIF(C239:I239,"&gt;1")</f>
        <v>6</v>
      </c>
    </row>
    <row r="240" spans="1:19" s="6" customFormat="1" ht="15" x14ac:dyDescent="0.25">
      <c r="A240" s="78">
        <v>30</v>
      </c>
      <c r="B240" s="142" t="s">
        <v>130</v>
      </c>
      <c r="C240" s="23">
        <v>247</v>
      </c>
      <c r="D240" s="57"/>
      <c r="E240" s="57">
        <f>132+172</f>
        <v>304</v>
      </c>
      <c r="F240" s="57">
        <f>122+134</f>
        <v>256</v>
      </c>
      <c r="G240" s="57"/>
      <c r="H240" s="154">
        <f>126+129</f>
        <v>255</v>
      </c>
      <c r="I240" s="42">
        <f>116+180</f>
        <v>296</v>
      </c>
      <c r="J240" s="27">
        <f>AVERAGE(C240:I240)/2</f>
        <v>135.80000000000001</v>
      </c>
      <c r="K240" s="66"/>
      <c r="L240" s="66"/>
      <c r="M240" s="66"/>
      <c r="N240" s="66"/>
      <c r="O240" s="66"/>
      <c r="P240" s="57"/>
      <c r="Q240" s="57"/>
      <c r="R240" s="27"/>
      <c r="S240" s="61">
        <f>COUNTIF(C240:I240,"&gt;1")</f>
        <v>5</v>
      </c>
    </row>
    <row r="241" spans="1:19" s="6" customFormat="1" ht="15.75" thickBot="1" x14ac:dyDescent="0.3">
      <c r="A241" s="79">
        <v>30</v>
      </c>
      <c r="B241" s="143" t="s">
        <v>134</v>
      </c>
      <c r="C241" s="70"/>
      <c r="D241" s="12">
        <f>55+74</f>
        <v>129</v>
      </c>
      <c r="E241" s="12"/>
      <c r="F241" s="12">
        <f>85+94</f>
        <v>179</v>
      </c>
      <c r="G241" s="12">
        <f>63+72</f>
        <v>135</v>
      </c>
      <c r="H241" s="155"/>
      <c r="I241" s="43">
        <f>89+85</f>
        <v>174</v>
      </c>
      <c r="J241" s="27">
        <f>AVERAGE(C241:I241)/2</f>
        <v>77.125</v>
      </c>
      <c r="K241" s="66"/>
      <c r="L241" s="66"/>
      <c r="M241" s="66"/>
      <c r="N241" s="66"/>
      <c r="O241" s="66"/>
      <c r="P241" s="57"/>
      <c r="Q241" s="57"/>
      <c r="R241" s="27"/>
      <c r="S241" s="61">
        <f>COUNTIF(C241:I241,"&gt;1")</f>
        <v>4</v>
      </c>
    </row>
    <row r="242" spans="1:19" s="6" customFormat="1" x14ac:dyDescent="0.2">
      <c r="A242" s="5"/>
      <c r="C242" s="17"/>
      <c r="D242" s="17"/>
      <c r="E242" s="17"/>
      <c r="F242" s="17"/>
      <c r="G242" s="17"/>
      <c r="H242" s="17"/>
      <c r="I242" s="17"/>
      <c r="J242" s="60"/>
      <c r="K242" s="67"/>
      <c r="L242" s="67"/>
      <c r="M242" s="67"/>
      <c r="N242" s="67"/>
      <c r="O242" s="67"/>
      <c r="P242" s="17"/>
      <c r="Q242" s="17"/>
      <c r="R242" s="60">
        <f>SUM(C237:I241)/(S242*2)</f>
        <v>101.91071428571429</v>
      </c>
      <c r="S242" s="61">
        <f>SUM(S237:S241)</f>
        <v>28</v>
      </c>
    </row>
    <row r="243" spans="1:19" s="6" customFormat="1" ht="13.5" thickBot="1" x14ac:dyDescent="0.25">
      <c r="A243" s="5"/>
      <c r="C243" s="17"/>
      <c r="J243" s="4"/>
      <c r="K243" s="68"/>
      <c r="L243" s="68"/>
      <c r="M243" s="68"/>
      <c r="N243" s="68"/>
      <c r="O243" s="68"/>
      <c r="R243" s="4"/>
      <c r="S243" s="52"/>
    </row>
    <row r="244" spans="1:19" s="6" customFormat="1" ht="15.75" thickBot="1" x14ac:dyDescent="0.25">
      <c r="A244" s="77">
        <v>31</v>
      </c>
      <c r="B244" s="128" t="s">
        <v>87</v>
      </c>
      <c r="C244" s="73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5"/>
      <c r="R244" s="25"/>
      <c r="S244" s="52"/>
    </row>
    <row r="245" spans="1:19" s="6" customFormat="1" ht="15" x14ac:dyDescent="0.25">
      <c r="A245" s="78">
        <v>31</v>
      </c>
      <c r="B245" s="141" t="s">
        <v>131</v>
      </c>
      <c r="C245" s="72">
        <v>221</v>
      </c>
      <c r="D245" s="24">
        <v>234</v>
      </c>
      <c r="E245" s="24">
        <f>111+111</f>
        <v>222</v>
      </c>
      <c r="F245" s="24">
        <f>142+125</f>
        <v>267</v>
      </c>
      <c r="G245" s="24">
        <f>161+125</f>
        <v>286</v>
      </c>
      <c r="H245" s="153">
        <f>107+155</f>
        <v>262</v>
      </c>
      <c r="I245" s="71">
        <f>116+124</f>
        <v>240</v>
      </c>
      <c r="J245" s="27">
        <f>AVERAGE(C245:I245)/2</f>
        <v>123.71428571428571</v>
      </c>
      <c r="K245" s="65"/>
      <c r="L245" s="65"/>
      <c r="M245" s="65"/>
      <c r="N245" s="65"/>
      <c r="O245" s="65"/>
      <c r="P245" s="24"/>
      <c r="Q245" s="24"/>
      <c r="R245" s="27"/>
      <c r="S245" s="61">
        <f>COUNTIF(C245:I245,"&gt;1")</f>
        <v>7</v>
      </c>
    </row>
    <row r="246" spans="1:19" s="6" customFormat="1" ht="15" x14ac:dyDescent="0.25">
      <c r="A246" s="78">
        <v>31</v>
      </c>
      <c r="B246" s="142" t="s">
        <v>132</v>
      </c>
      <c r="C246" s="23">
        <v>210</v>
      </c>
      <c r="D246" s="57">
        <v>224</v>
      </c>
      <c r="E246" s="57">
        <f>99+95</f>
        <v>194</v>
      </c>
      <c r="F246" s="57">
        <f>121+127</f>
        <v>248</v>
      </c>
      <c r="G246" s="57">
        <f>102+101</f>
        <v>203</v>
      </c>
      <c r="H246" s="154">
        <f>112+113</f>
        <v>225</v>
      </c>
      <c r="I246" s="42">
        <f>114+109</f>
        <v>223</v>
      </c>
      <c r="J246" s="27">
        <f>AVERAGE(C246:I246)/2</f>
        <v>109.07142857142857</v>
      </c>
      <c r="K246" s="66"/>
      <c r="L246" s="66"/>
      <c r="M246" s="66"/>
      <c r="N246" s="66"/>
      <c r="O246" s="66"/>
      <c r="P246" s="57"/>
      <c r="Q246" s="57"/>
      <c r="R246" s="27"/>
      <c r="S246" s="61">
        <f>COUNTIF(C246:I246,"&gt;1")</f>
        <v>7</v>
      </c>
    </row>
    <row r="247" spans="1:19" s="6" customFormat="1" ht="15" x14ac:dyDescent="0.25">
      <c r="A247" s="78">
        <v>31</v>
      </c>
      <c r="B247" s="142" t="s">
        <v>133</v>
      </c>
      <c r="C247" s="23">
        <v>181</v>
      </c>
      <c r="D247" s="57">
        <v>217</v>
      </c>
      <c r="E247" s="57">
        <f>88+134</f>
        <v>222</v>
      </c>
      <c r="F247" s="57">
        <f>121+123</f>
        <v>244</v>
      </c>
      <c r="G247" s="57">
        <f>162+94</f>
        <v>256</v>
      </c>
      <c r="H247" s="154">
        <f>96+126</f>
        <v>222</v>
      </c>
      <c r="I247" s="42">
        <f>118+107</f>
        <v>225</v>
      </c>
      <c r="J247" s="27">
        <f>AVERAGE(C247:I247)/2</f>
        <v>111.92857142857143</v>
      </c>
      <c r="K247" s="66"/>
      <c r="L247" s="66"/>
      <c r="M247" s="66"/>
      <c r="N247" s="66"/>
      <c r="O247" s="66"/>
      <c r="P247" s="57"/>
      <c r="Q247" s="57"/>
      <c r="R247" s="27"/>
      <c r="S247" s="61">
        <f>COUNTIF(C247:I247,"&gt;1")</f>
        <v>7</v>
      </c>
    </row>
    <row r="248" spans="1:19" s="6" customFormat="1" ht="15" x14ac:dyDescent="0.25">
      <c r="A248" s="78">
        <v>31</v>
      </c>
      <c r="B248" s="142" t="s">
        <v>92</v>
      </c>
      <c r="C248" s="23">
        <v>259</v>
      </c>
      <c r="D248" s="57">
        <v>241</v>
      </c>
      <c r="E248" s="57">
        <f>146+112</f>
        <v>258</v>
      </c>
      <c r="F248" s="57">
        <f>168+113</f>
        <v>281</v>
      </c>
      <c r="G248" s="57">
        <f>97+93</f>
        <v>190</v>
      </c>
      <c r="H248" s="154">
        <f>124+107</f>
        <v>231</v>
      </c>
      <c r="I248" s="42">
        <f>125+101</f>
        <v>226</v>
      </c>
      <c r="J248" s="27">
        <f>AVERAGE(C248:I248)/2</f>
        <v>120.42857142857143</v>
      </c>
      <c r="K248" s="66"/>
      <c r="L248" s="66"/>
      <c r="M248" s="66"/>
      <c r="N248" s="66"/>
      <c r="O248" s="66"/>
      <c r="P248" s="57"/>
      <c r="Q248" s="57"/>
      <c r="R248" s="27"/>
      <c r="S248" s="61">
        <f>COUNTIF(C248:I248,"&gt;1")</f>
        <v>7</v>
      </c>
    </row>
    <row r="249" spans="1:19" s="6" customFormat="1" ht="15.75" thickBot="1" x14ac:dyDescent="0.3">
      <c r="A249" s="79">
        <v>31</v>
      </c>
      <c r="B249" s="85" t="s">
        <v>15</v>
      </c>
      <c r="C249" s="70">
        <v>0</v>
      </c>
      <c r="D249" s="12"/>
      <c r="E249" s="12"/>
      <c r="F249" s="12"/>
      <c r="G249" s="12"/>
      <c r="H249" s="155"/>
      <c r="I249" s="43"/>
      <c r="J249" s="27">
        <f>AVERAGE(C249:I249)/2</f>
        <v>0</v>
      </c>
      <c r="K249" s="66"/>
      <c r="L249" s="66"/>
      <c r="M249" s="66"/>
      <c r="N249" s="66"/>
      <c r="O249" s="66"/>
      <c r="P249" s="57"/>
      <c r="Q249" s="57"/>
      <c r="R249" s="27"/>
      <c r="S249" s="61">
        <f>COUNTIF(C249:I249,"&gt;1")</f>
        <v>0</v>
      </c>
    </row>
    <row r="250" spans="1:19" s="6" customFormat="1" x14ac:dyDescent="0.2">
      <c r="A250" s="5"/>
      <c r="B250" s="9"/>
      <c r="C250" s="17"/>
      <c r="D250" s="17"/>
      <c r="E250" s="17"/>
      <c r="F250" s="17"/>
      <c r="G250" s="17"/>
      <c r="H250" s="17"/>
      <c r="I250" s="17"/>
      <c r="J250" s="60"/>
      <c r="K250" s="67"/>
      <c r="L250" s="67"/>
      <c r="M250" s="67"/>
      <c r="N250" s="67"/>
      <c r="O250" s="67"/>
      <c r="P250" s="17"/>
      <c r="Q250" s="17"/>
      <c r="R250" s="60">
        <f>SUM(C245:I249)/(S250*2)</f>
        <v>116.28571428571429</v>
      </c>
      <c r="S250" s="61">
        <f>SUM(S245:S249)</f>
        <v>28</v>
      </c>
    </row>
    <row r="251" spans="1:19" s="6" customFormat="1" ht="13.5" thickBot="1" x14ac:dyDescent="0.25">
      <c r="A251" s="5"/>
      <c r="B251" s="9"/>
      <c r="C251" s="17"/>
      <c r="J251" s="4"/>
      <c r="K251" s="68"/>
      <c r="L251" s="68"/>
      <c r="M251" s="68"/>
      <c r="N251" s="68"/>
      <c r="O251" s="68"/>
      <c r="R251" s="4"/>
      <c r="S251" s="52"/>
    </row>
    <row r="252" spans="1:19" s="6" customFormat="1" ht="15.75" thickBot="1" x14ac:dyDescent="0.25">
      <c r="A252" s="77">
        <v>32</v>
      </c>
      <c r="B252" s="113" t="s">
        <v>145</v>
      </c>
      <c r="C252" s="73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5"/>
      <c r="R252" s="25"/>
      <c r="S252" s="52"/>
    </row>
    <row r="253" spans="1:19" s="6" customFormat="1" ht="15" x14ac:dyDescent="0.25">
      <c r="A253" s="78">
        <v>32</v>
      </c>
      <c r="B253" s="151" t="s">
        <v>23</v>
      </c>
      <c r="C253" s="72">
        <f>144+141</f>
        <v>285</v>
      </c>
      <c r="D253" s="24">
        <f>154+140</f>
        <v>294</v>
      </c>
      <c r="E253" s="24">
        <f>132+149</f>
        <v>281</v>
      </c>
      <c r="F253" s="24">
        <f>157+166</f>
        <v>323</v>
      </c>
      <c r="G253" s="24">
        <f>102+117</f>
        <v>219</v>
      </c>
      <c r="H253" s="153">
        <f>132+146</f>
        <v>278</v>
      </c>
      <c r="I253" s="71">
        <f>117+181</f>
        <v>298</v>
      </c>
      <c r="J253" s="27">
        <f>AVERAGE(C253:I253)/2</f>
        <v>141.28571428571428</v>
      </c>
      <c r="K253" s="65"/>
      <c r="L253" s="65"/>
      <c r="M253" s="65"/>
      <c r="N253" s="65"/>
      <c r="O253" s="65"/>
      <c r="P253" s="24"/>
      <c r="Q253" s="24"/>
      <c r="R253" s="27"/>
      <c r="S253" s="61">
        <f>COUNTIF(C253:I253,"&gt;1")</f>
        <v>7</v>
      </c>
    </row>
    <row r="254" spans="1:19" s="6" customFormat="1" ht="15" x14ac:dyDescent="0.25">
      <c r="A254" s="78">
        <v>32</v>
      </c>
      <c r="B254" s="150" t="s">
        <v>144</v>
      </c>
      <c r="C254" s="23">
        <f>160+135</f>
        <v>295</v>
      </c>
      <c r="D254" s="57">
        <f>143+169</f>
        <v>312</v>
      </c>
      <c r="E254" s="57">
        <f>131+183</f>
        <v>314</v>
      </c>
      <c r="F254" s="57">
        <f>106+183</f>
        <v>289</v>
      </c>
      <c r="G254" s="57">
        <f>145+111</f>
        <v>256</v>
      </c>
      <c r="H254" s="154">
        <f>197+164</f>
        <v>361</v>
      </c>
      <c r="I254" s="42">
        <f>145+139</f>
        <v>284</v>
      </c>
      <c r="J254" s="27">
        <f>AVERAGE(C254:I254)/2</f>
        <v>150.78571428571428</v>
      </c>
      <c r="K254" s="66"/>
      <c r="L254" s="66"/>
      <c r="M254" s="66"/>
      <c r="N254" s="66"/>
      <c r="O254" s="66"/>
      <c r="P254" s="57"/>
      <c r="Q254" s="57"/>
      <c r="R254" s="27"/>
      <c r="S254" s="61">
        <f>COUNTIF(C254:I254,"&gt;1")</f>
        <v>7</v>
      </c>
    </row>
    <row r="255" spans="1:19" s="6" customFormat="1" ht="15" x14ac:dyDescent="0.25">
      <c r="A255" s="78">
        <v>32</v>
      </c>
      <c r="B255" s="150" t="s">
        <v>143</v>
      </c>
      <c r="C255" s="23">
        <f>136+154</f>
        <v>290</v>
      </c>
      <c r="D255" s="57">
        <f>164+119</f>
        <v>283</v>
      </c>
      <c r="E255" s="57">
        <f>134+147</f>
        <v>281</v>
      </c>
      <c r="F255" s="57">
        <f>125+145</f>
        <v>270</v>
      </c>
      <c r="G255" s="57">
        <f>117+169</f>
        <v>286</v>
      </c>
      <c r="H255" s="154">
        <f>105+156</f>
        <v>261</v>
      </c>
      <c r="I255" s="42">
        <f>146+166</f>
        <v>312</v>
      </c>
      <c r="J255" s="27">
        <f>AVERAGE(C255:I255)/2</f>
        <v>141.64285714285714</v>
      </c>
      <c r="K255" s="66"/>
      <c r="L255" s="66"/>
      <c r="M255" s="66"/>
      <c r="N255" s="66"/>
      <c r="O255" s="66"/>
      <c r="P255" s="57"/>
      <c r="Q255" s="57"/>
      <c r="R255" s="27"/>
      <c r="S255" s="61">
        <f>COUNTIF(C255:I255,"&gt;1")</f>
        <v>7</v>
      </c>
    </row>
    <row r="256" spans="1:19" s="6" customFormat="1" ht="15" x14ac:dyDescent="0.25">
      <c r="A256" s="78">
        <v>32</v>
      </c>
      <c r="B256" s="84" t="s">
        <v>19</v>
      </c>
      <c r="C256" s="23">
        <v>0</v>
      </c>
      <c r="D256" s="57"/>
      <c r="E256" s="57"/>
      <c r="F256" s="57"/>
      <c r="G256" s="57"/>
      <c r="H256" s="154"/>
      <c r="I256" s="42"/>
      <c r="J256" s="27">
        <f>AVERAGE(C256:I256)/2</f>
        <v>0</v>
      </c>
      <c r="K256" s="66"/>
      <c r="L256" s="66"/>
      <c r="M256" s="66"/>
      <c r="N256" s="66"/>
      <c r="O256" s="66"/>
      <c r="P256" s="57"/>
      <c r="Q256" s="57"/>
      <c r="R256" s="27"/>
      <c r="S256" s="61">
        <f>COUNTIF(C256:I256,"&gt;1")</f>
        <v>0</v>
      </c>
    </row>
    <row r="257" spans="1:19" s="6" customFormat="1" ht="15.75" thickBot="1" x14ac:dyDescent="0.3">
      <c r="A257" s="79">
        <v>32</v>
      </c>
      <c r="B257" s="85" t="s">
        <v>15</v>
      </c>
      <c r="C257" s="70">
        <v>0</v>
      </c>
      <c r="D257" s="12"/>
      <c r="E257" s="12"/>
      <c r="F257" s="12"/>
      <c r="G257" s="12"/>
      <c r="H257" s="155"/>
      <c r="I257" s="43"/>
      <c r="J257" s="27">
        <f>AVERAGE(C257:I257)/2</f>
        <v>0</v>
      </c>
      <c r="K257" s="66"/>
      <c r="L257" s="66"/>
      <c r="M257" s="66"/>
      <c r="N257" s="66"/>
      <c r="O257" s="66"/>
      <c r="P257" s="57"/>
      <c r="Q257" s="57"/>
      <c r="R257" s="27"/>
      <c r="S257" s="61">
        <f>COUNTIF(C257:I257,"&gt;1")</f>
        <v>0</v>
      </c>
    </row>
    <row r="258" spans="1:19" s="6" customFormat="1" x14ac:dyDescent="0.2">
      <c r="A258" s="5"/>
      <c r="C258" s="17"/>
      <c r="D258" s="17"/>
      <c r="E258" s="17"/>
      <c r="F258" s="17"/>
      <c r="G258" s="17"/>
      <c r="H258" s="17"/>
      <c r="I258" s="17"/>
      <c r="J258" s="60"/>
      <c r="K258" s="67"/>
      <c r="L258" s="67"/>
      <c r="M258" s="67"/>
      <c r="N258" s="67"/>
      <c r="O258" s="67"/>
      <c r="P258" s="17"/>
      <c r="Q258" s="17"/>
      <c r="R258" s="60">
        <f>SUM(C253:I257)/(S258*2)</f>
        <v>144.57142857142858</v>
      </c>
      <c r="S258" s="61">
        <f>SUM(S253:S257)</f>
        <v>21</v>
      </c>
    </row>
    <row r="259" spans="1:19" s="6" customFormat="1" ht="13.5" thickBot="1" x14ac:dyDescent="0.25">
      <c r="A259" s="5"/>
      <c r="C259" s="17"/>
      <c r="J259" s="4"/>
      <c r="K259" s="68"/>
      <c r="L259" s="68"/>
      <c r="M259" s="68"/>
      <c r="N259" s="68"/>
      <c r="O259" s="68"/>
      <c r="R259" s="4"/>
      <c r="S259" s="52"/>
    </row>
    <row r="260" spans="1:19" s="6" customFormat="1" ht="15.75" thickBot="1" x14ac:dyDescent="0.25">
      <c r="A260" s="77">
        <v>33</v>
      </c>
      <c r="B260" s="113" t="s">
        <v>125</v>
      </c>
      <c r="C260" s="73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5"/>
      <c r="R260" s="25"/>
      <c r="S260" s="52"/>
    </row>
    <row r="261" spans="1:19" s="6" customFormat="1" ht="15" x14ac:dyDescent="0.25">
      <c r="A261" s="78">
        <v>33</v>
      </c>
      <c r="B261" s="114"/>
      <c r="C261" s="72">
        <v>2</v>
      </c>
      <c r="D261" s="24"/>
      <c r="E261" s="24"/>
      <c r="F261" s="24"/>
      <c r="G261" s="24"/>
      <c r="H261" s="153"/>
      <c r="I261" s="71"/>
      <c r="J261" s="27">
        <f>AVERAGE(C261:I261)/2</f>
        <v>1</v>
      </c>
      <c r="K261" s="65"/>
      <c r="L261" s="65"/>
      <c r="M261" s="65"/>
      <c r="N261" s="65"/>
      <c r="O261" s="65"/>
      <c r="P261" s="24"/>
      <c r="Q261" s="24"/>
      <c r="R261" s="27"/>
      <c r="S261" s="61">
        <f>COUNTIF(C261:I261,"&gt;1")</f>
        <v>1</v>
      </c>
    </row>
    <row r="262" spans="1:19" s="6" customFormat="1" ht="15" x14ac:dyDescent="0.25">
      <c r="A262" s="78">
        <v>33</v>
      </c>
      <c r="B262" s="115"/>
      <c r="C262" s="23">
        <v>2</v>
      </c>
      <c r="D262" s="57"/>
      <c r="E262" s="57"/>
      <c r="F262" s="57"/>
      <c r="G262" s="57"/>
      <c r="H262" s="154"/>
      <c r="I262" s="42"/>
      <c r="J262" s="27">
        <f>AVERAGE(C262:I262)/2</f>
        <v>1</v>
      </c>
      <c r="K262" s="66"/>
      <c r="L262" s="66"/>
      <c r="M262" s="66"/>
      <c r="N262" s="66"/>
      <c r="O262" s="66"/>
      <c r="P262" s="57"/>
      <c r="Q262" s="57"/>
      <c r="R262" s="27"/>
      <c r="S262" s="61">
        <f>COUNTIF(C262:I262,"&gt;1")</f>
        <v>1</v>
      </c>
    </row>
    <row r="263" spans="1:19" s="6" customFormat="1" ht="15" x14ac:dyDescent="0.25">
      <c r="A263" s="78">
        <v>33</v>
      </c>
      <c r="B263" s="120"/>
      <c r="C263" s="23">
        <v>2</v>
      </c>
      <c r="D263" s="57"/>
      <c r="E263" s="57"/>
      <c r="F263" s="57"/>
      <c r="G263" s="57"/>
      <c r="H263" s="154"/>
      <c r="I263" s="42"/>
      <c r="J263" s="27">
        <f>AVERAGE(C263:I263)/2</f>
        <v>1</v>
      </c>
      <c r="K263" s="66"/>
      <c r="L263" s="66"/>
      <c r="M263" s="66"/>
      <c r="N263" s="66"/>
      <c r="O263" s="66"/>
      <c r="P263" s="57"/>
      <c r="Q263" s="57"/>
      <c r="R263" s="27"/>
      <c r="S263" s="61">
        <f>COUNTIF(C263:I263,"&gt;1")</f>
        <v>1</v>
      </c>
    </row>
    <row r="264" spans="1:19" s="6" customFormat="1" ht="15" x14ac:dyDescent="0.25">
      <c r="A264" s="78">
        <v>33</v>
      </c>
      <c r="B264" s="120"/>
      <c r="C264" s="23">
        <v>2</v>
      </c>
      <c r="D264" s="57"/>
      <c r="E264" s="57"/>
      <c r="F264" s="57"/>
      <c r="G264" s="57"/>
      <c r="H264" s="154"/>
      <c r="I264" s="42"/>
      <c r="J264" s="27">
        <f>AVERAGE(C264:I264)/2</f>
        <v>1</v>
      </c>
      <c r="K264" s="66"/>
      <c r="L264" s="66"/>
      <c r="M264" s="66"/>
      <c r="N264" s="66"/>
      <c r="O264" s="66"/>
      <c r="P264" s="57"/>
      <c r="Q264" s="57"/>
      <c r="R264" s="27"/>
      <c r="S264" s="61">
        <f>COUNTIF(C264:I264,"&gt;1")</f>
        <v>1</v>
      </c>
    </row>
    <row r="265" spans="1:19" s="6" customFormat="1" ht="15.75" thickBot="1" x14ac:dyDescent="0.3">
      <c r="A265" s="79">
        <v>33</v>
      </c>
      <c r="B265" s="122"/>
      <c r="C265" s="70">
        <v>2</v>
      </c>
      <c r="D265" s="12"/>
      <c r="E265" s="12"/>
      <c r="F265" s="12"/>
      <c r="G265" s="12"/>
      <c r="H265" s="155"/>
      <c r="I265" s="43"/>
      <c r="J265" s="27">
        <f>AVERAGE(C265:I265)/2</f>
        <v>1</v>
      </c>
      <c r="K265" s="66"/>
      <c r="L265" s="66"/>
      <c r="M265" s="66"/>
      <c r="N265" s="66"/>
      <c r="O265" s="66"/>
      <c r="P265" s="57"/>
      <c r="Q265" s="57"/>
      <c r="R265" s="27"/>
      <c r="S265" s="61">
        <f>COUNTIF(C265:I265,"&gt;1")</f>
        <v>1</v>
      </c>
    </row>
    <row r="266" spans="1:19" s="6" customFormat="1" x14ac:dyDescent="0.2">
      <c r="A266" s="69"/>
      <c r="B266" s="9"/>
      <c r="C266" s="17"/>
      <c r="D266" s="17"/>
      <c r="E266" s="17"/>
      <c r="F266" s="17"/>
      <c r="G266" s="17"/>
      <c r="H266" s="17"/>
      <c r="I266" s="17"/>
      <c r="J266" s="60"/>
      <c r="K266" s="67"/>
      <c r="L266" s="67"/>
      <c r="M266" s="67"/>
      <c r="N266" s="67"/>
      <c r="O266" s="67"/>
      <c r="P266" s="17"/>
      <c r="Q266" s="17"/>
      <c r="R266" s="60">
        <f>SUM(C261:I265)/(S266*2)</f>
        <v>1</v>
      </c>
      <c r="S266" s="61">
        <f>SUM(S261:S265)</f>
        <v>5</v>
      </c>
    </row>
    <row r="267" spans="1:19" s="6" customFormat="1" ht="13.5" thickBot="1" x14ac:dyDescent="0.25">
      <c r="A267" s="69"/>
      <c r="B267" s="9"/>
      <c r="C267" s="17"/>
      <c r="J267" s="4"/>
      <c r="K267" s="68"/>
      <c r="L267" s="68"/>
      <c r="M267" s="68"/>
      <c r="N267" s="68"/>
      <c r="O267" s="68"/>
      <c r="R267" s="4"/>
      <c r="S267" s="52"/>
    </row>
    <row r="268" spans="1:19" s="6" customFormat="1" ht="15.75" thickBot="1" x14ac:dyDescent="0.25">
      <c r="A268" s="77">
        <v>34</v>
      </c>
      <c r="B268" s="113" t="s">
        <v>125</v>
      </c>
      <c r="C268" s="73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5"/>
      <c r="R268" s="25"/>
      <c r="S268" s="52"/>
    </row>
    <row r="269" spans="1:19" s="6" customFormat="1" ht="15" x14ac:dyDescent="0.25">
      <c r="A269" s="78">
        <v>34</v>
      </c>
      <c r="B269" s="83" t="s">
        <v>16</v>
      </c>
      <c r="C269" s="72">
        <v>2</v>
      </c>
      <c r="D269" s="24"/>
      <c r="E269" s="24"/>
      <c r="F269" s="24"/>
      <c r="G269" s="24"/>
      <c r="H269" s="153"/>
      <c r="I269" s="71"/>
      <c r="J269" s="27">
        <f>AVERAGE(C269:I269)/2</f>
        <v>1</v>
      </c>
      <c r="K269" s="65"/>
      <c r="L269" s="65"/>
      <c r="M269" s="65"/>
      <c r="N269" s="65"/>
      <c r="O269" s="65"/>
      <c r="P269" s="24"/>
      <c r="Q269" s="24"/>
      <c r="R269" s="27"/>
      <c r="S269" s="61">
        <f>COUNTIF(C269:I269,"&gt;1")</f>
        <v>1</v>
      </c>
    </row>
    <row r="270" spans="1:19" s="6" customFormat="1" ht="15" x14ac:dyDescent="0.25">
      <c r="A270" s="78">
        <v>34</v>
      </c>
      <c r="B270" s="84" t="s">
        <v>17</v>
      </c>
      <c r="C270" s="23">
        <v>2</v>
      </c>
      <c r="D270" s="57"/>
      <c r="E270" s="57"/>
      <c r="F270" s="57"/>
      <c r="G270" s="57"/>
      <c r="H270" s="154"/>
      <c r="I270" s="42"/>
      <c r="J270" s="27">
        <f>AVERAGE(C270:I270)/2</f>
        <v>1</v>
      </c>
      <c r="K270" s="66"/>
      <c r="L270" s="66"/>
      <c r="M270" s="66"/>
      <c r="N270" s="66"/>
      <c r="O270" s="66"/>
      <c r="P270" s="57"/>
      <c r="Q270" s="57"/>
      <c r="R270" s="27"/>
      <c r="S270" s="61">
        <f>COUNTIF(C270:I270,"&gt;1")</f>
        <v>1</v>
      </c>
    </row>
    <row r="271" spans="1:19" s="6" customFormat="1" ht="15" x14ac:dyDescent="0.25">
      <c r="A271" s="78">
        <v>34</v>
      </c>
      <c r="B271" s="84" t="s">
        <v>18</v>
      </c>
      <c r="C271" s="23">
        <v>2</v>
      </c>
      <c r="D271" s="57"/>
      <c r="E271" s="57"/>
      <c r="F271" s="57"/>
      <c r="G271" s="57"/>
      <c r="H271" s="154"/>
      <c r="I271" s="42"/>
      <c r="J271" s="27">
        <f>AVERAGE(C271:I271)/2</f>
        <v>1</v>
      </c>
      <c r="K271" s="66"/>
      <c r="L271" s="66"/>
      <c r="M271" s="66"/>
      <c r="N271" s="66"/>
      <c r="O271" s="66"/>
      <c r="P271" s="57"/>
      <c r="Q271" s="57"/>
      <c r="R271" s="27"/>
      <c r="S271" s="61">
        <f>COUNTIF(C271:I271,"&gt;1")</f>
        <v>1</v>
      </c>
    </row>
    <row r="272" spans="1:19" s="6" customFormat="1" ht="15" x14ac:dyDescent="0.25">
      <c r="A272" s="78">
        <v>34</v>
      </c>
      <c r="B272" s="84" t="s">
        <v>19</v>
      </c>
      <c r="C272" s="23">
        <v>2</v>
      </c>
      <c r="D272" s="57"/>
      <c r="E272" s="57"/>
      <c r="F272" s="57"/>
      <c r="G272" s="57"/>
      <c r="H272" s="154"/>
      <c r="I272" s="42"/>
      <c r="J272" s="27">
        <f>AVERAGE(C272:I272)/2</f>
        <v>1</v>
      </c>
      <c r="K272" s="66"/>
      <c r="L272" s="66"/>
      <c r="M272" s="66"/>
      <c r="N272" s="66"/>
      <c r="O272" s="66"/>
      <c r="P272" s="57"/>
      <c r="Q272" s="57"/>
      <c r="R272" s="27"/>
      <c r="S272" s="61">
        <f>COUNTIF(C272:I272,"&gt;1")</f>
        <v>1</v>
      </c>
    </row>
    <row r="273" spans="1:20" s="6" customFormat="1" ht="15.75" thickBot="1" x14ac:dyDescent="0.3">
      <c r="A273" s="79">
        <v>34</v>
      </c>
      <c r="B273" s="85" t="s">
        <v>15</v>
      </c>
      <c r="C273" s="70">
        <v>2</v>
      </c>
      <c r="D273" s="12"/>
      <c r="E273" s="12"/>
      <c r="F273" s="12"/>
      <c r="G273" s="12"/>
      <c r="H273" s="155"/>
      <c r="I273" s="43"/>
      <c r="J273" s="27">
        <f>AVERAGE(C273:I273)/2</f>
        <v>1</v>
      </c>
      <c r="K273" s="66"/>
      <c r="L273" s="66"/>
      <c r="M273" s="66"/>
      <c r="N273" s="66"/>
      <c r="O273" s="66"/>
      <c r="P273" s="57"/>
      <c r="Q273" s="57"/>
      <c r="R273" s="27"/>
      <c r="S273" s="61">
        <f>COUNTIF(C273:I273,"&gt;1")</f>
        <v>1</v>
      </c>
    </row>
    <row r="274" spans="1:20" s="6" customFormat="1" x14ac:dyDescent="0.2">
      <c r="A274" s="69"/>
      <c r="B274" s="9"/>
      <c r="C274" s="17"/>
      <c r="D274" s="17"/>
      <c r="E274" s="17"/>
      <c r="F274" s="17"/>
      <c r="G274" s="17"/>
      <c r="H274" s="17"/>
      <c r="I274" s="17"/>
      <c r="J274" s="60"/>
      <c r="K274" s="67"/>
      <c r="L274" s="67"/>
      <c r="M274" s="67"/>
      <c r="N274" s="67"/>
      <c r="O274" s="67"/>
      <c r="P274" s="17"/>
      <c r="Q274" s="17"/>
      <c r="R274" s="60">
        <f>SUM(C269:I273)/(S274*2)</f>
        <v>1</v>
      </c>
      <c r="S274" s="61">
        <f>SUM(S269:S273)</f>
        <v>5</v>
      </c>
    </row>
    <row r="275" spans="1:20" s="6" customFormat="1" ht="13.5" thickBot="1" x14ac:dyDescent="0.25">
      <c r="A275" s="69"/>
      <c r="B275" s="9"/>
      <c r="C275" s="17"/>
      <c r="J275" s="4"/>
      <c r="K275" s="68"/>
      <c r="L275" s="68"/>
      <c r="M275" s="68"/>
      <c r="N275" s="68"/>
      <c r="O275" s="68"/>
      <c r="R275" s="4"/>
      <c r="S275" s="52"/>
    </row>
    <row r="276" spans="1:20" s="6" customFormat="1" ht="13.5" thickBot="1" x14ac:dyDescent="0.25">
      <c r="A276" s="77">
        <v>35</v>
      </c>
      <c r="B276" s="76" t="s">
        <v>125</v>
      </c>
      <c r="C276" s="73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5"/>
      <c r="R276" s="41"/>
      <c r="S276" s="61">
        <f>COUNTIF(K276:Q276,"&gt;1")</f>
        <v>0</v>
      </c>
    </row>
    <row r="277" spans="1:20" s="6" customFormat="1" ht="15" x14ac:dyDescent="0.25">
      <c r="A277" s="78">
        <v>35</v>
      </c>
      <c r="B277" s="86"/>
      <c r="C277" s="72">
        <v>2</v>
      </c>
      <c r="D277" s="24"/>
      <c r="E277" s="24"/>
      <c r="F277" s="24"/>
      <c r="G277" s="24"/>
      <c r="H277" s="153"/>
      <c r="I277" s="71"/>
      <c r="J277" s="27">
        <f>AVERAGE(C277:I277)/2</f>
        <v>1</v>
      </c>
      <c r="K277" s="65"/>
      <c r="L277" s="65"/>
      <c r="M277" s="65"/>
      <c r="N277" s="65"/>
      <c r="O277" s="65"/>
      <c r="P277" s="24"/>
      <c r="Q277" s="24"/>
      <c r="R277" s="27"/>
      <c r="S277" s="61">
        <f>COUNTIF(C277:I277,"&gt;1")</f>
        <v>1</v>
      </c>
    </row>
    <row r="278" spans="1:20" s="6" customFormat="1" ht="15" x14ac:dyDescent="0.25">
      <c r="A278" s="78">
        <v>35</v>
      </c>
      <c r="B278" s="87"/>
      <c r="C278" s="23">
        <v>2</v>
      </c>
      <c r="D278" s="57"/>
      <c r="E278" s="57"/>
      <c r="F278" s="57"/>
      <c r="G278" s="57"/>
      <c r="H278" s="154"/>
      <c r="I278" s="42"/>
      <c r="J278" s="27">
        <f>AVERAGE(C278:I278)/2</f>
        <v>1</v>
      </c>
      <c r="K278" s="66"/>
      <c r="L278" s="66"/>
      <c r="M278" s="66"/>
      <c r="N278" s="66"/>
      <c r="O278" s="66"/>
      <c r="P278" s="57"/>
      <c r="Q278" s="57"/>
      <c r="R278" s="27"/>
      <c r="S278" s="61">
        <f t="shared" ref="S278:S281" si="0">COUNTIF(C278:I278,"&gt;1")</f>
        <v>1</v>
      </c>
    </row>
    <row r="279" spans="1:20" s="6" customFormat="1" ht="15" x14ac:dyDescent="0.25">
      <c r="A279" s="78">
        <v>35</v>
      </c>
      <c r="B279" s="87"/>
      <c r="C279" s="23">
        <v>2</v>
      </c>
      <c r="D279" s="57"/>
      <c r="E279" s="57"/>
      <c r="F279" s="57"/>
      <c r="G279" s="57"/>
      <c r="H279" s="154"/>
      <c r="I279" s="42"/>
      <c r="J279" s="27">
        <f>AVERAGE(C279:I279)/2</f>
        <v>1</v>
      </c>
      <c r="K279" s="66"/>
      <c r="L279" s="66"/>
      <c r="M279" s="66"/>
      <c r="N279" s="66"/>
      <c r="O279" s="66"/>
      <c r="P279" s="57"/>
      <c r="Q279" s="57"/>
      <c r="R279" s="27"/>
      <c r="S279" s="61">
        <f t="shared" si="0"/>
        <v>1</v>
      </c>
      <c r="T279" s="8"/>
    </row>
    <row r="280" spans="1:20" s="6" customFormat="1" ht="15" x14ac:dyDescent="0.25">
      <c r="A280" s="78">
        <v>35</v>
      </c>
      <c r="B280" s="87"/>
      <c r="C280" s="23">
        <v>2</v>
      </c>
      <c r="D280" s="57"/>
      <c r="E280" s="57"/>
      <c r="F280" s="57"/>
      <c r="G280" s="57"/>
      <c r="H280" s="154"/>
      <c r="I280" s="42"/>
      <c r="J280" s="27">
        <f>AVERAGE(C280:I280)/2</f>
        <v>1</v>
      </c>
      <c r="K280" s="66"/>
      <c r="L280" s="66"/>
      <c r="M280" s="66"/>
      <c r="N280" s="66"/>
      <c r="O280" s="66"/>
      <c r="P280" s="57"/>
      <c r="Q280" s="57"/>
      <c r="R280" s="27"/>
      <c r="S280" s="61">
        <f t="shared" si="0"/>
        <v>1</v>
      </c>
      <c r="T280" s="8"/>
    </row>
    <row r="281" spans="1:20" s="6" customFormat="1" ht="15.75" thickBot="1" x14ac:dyDescent="0.3">
      <c r="A281" s="79">
        <v>35</v>
      </c>
      <c r="B281" s="85" t="s">
        <v>15</v>
      </c>
      <c r="C281" s="70">
        <v>2</v>
      </c>
      <c r="D281" s="12"/>
      <c r="E281" s="12"/>
      <c r="F281" s="12"/>
      <c r="G281" s="12"/>
      <c r="H281" s="155"/>
      <c r="I281" s="43"/>
      <c r="J281" s="27">
        <f>AVERAGE(C281:I281)/2</f>
        <v>1</v>
      </c>
      <c r="K281" s="66"/>
      <c r="L281" s="66"/>
      <c r="M281" s="66"/>
      <c r="N281" s="66"/>
      <c r="O281" s="66"/>
      <c r="P281" s="57"/>
      <c r="Q281" s="57"/>
      <c r="R281" s="27"/>
      <c r="S281" s="61">
        <f t="shared" si="0"/>
        <v>1</v>
      </c>
    </row>
    <row r="282" spans="1:20" s="6" customFormat="1" x14ac:dyDescent="0.2">
      <c r="A282" s="69"/>
      <c r="B282" s="9"/>
      <c r="C282" s="17"/>
      <c r="D282" s="17"/>
      <c r="E282" s="17"/>
      <c r="F282" s="17"/>
      <c r="G282" s="17"/>
      <c r="H282" s="17"/>
      <c r="I282" s="17"/>
      <c r="J282" s="60"/>
      <c r="K282" s="67"/>
      <c r="L282" s="67"/>
      <c r="M282" s="67"/>
      <c r="N282" s="67"/>
      <c r="O282" s="67"/>
      <c r="P282" s="17"/>
      <c r="Q282" s="17"/>
      <c r="R282" s="60">
        <f>SUM(C277:I281)/(S282*2)</f>
        <v>1</v>
      </c>
      <c r="S282" s="61">
        <f>SUM(S277:S281)</f>
        <v>5</v>
      </c>
    </row>
    <row r="283" spans="1:20" s="6" customFormat="1" ht="15" x14ac:dyDescent="0.25">
      <c r="A283" s="69"/>
      <c r="B283" s="9"/>
      <c r="C283" s="17"/>
      <c r="J283" s="4"/>
      <c r="K283" s="68"/>
      <c r="L283" s="68"/>
      <c r="M283" s="68"/>
      <c r="N283" s="68"/>
      <c r="O283" s="68"/>
      <c r="R283" s="4"/>
      <c r="S283" s="52"/>
      <c r="T283" s="44"/>
    </row>
  </sheetData>
  <mergeCells count="1">
    <mergeCell ref="A1:R1"/>
  </mergeCells>
  <phoneticPr fontId="0" type="noConversion"/>
  <pageMargins left="0.74803149606299213" right="0.74803149606299213" top="0.98425196850393704" bottom="0.98425196850393704" header="0" footer="0"/>
  <pageSetup paperSize="9" scale="200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0"/>
  <sheetViews>
    <sheetView workbookViewId="0">
      <selection activeCell="D117" sqref="B6:D117"/>
    </sheetView>
  </sheetViews>
  <sheetFormatPr defaultRowHeight="18" x14ac:dyDescent="0.25"/>
  <cols>
    <col min="1" max="1" width="5.28515625" style="10" bestFit="1" customWidth="1"/>
    <col min="2" max="2" width="6.42578125" style="2" bestFit="1" customWidth="1"/>
    <col min="3" max="3" width="26.140625" style="53" bestFit="1" customWidth="1"/>
    <col min="4" max="4" width="21.85546875" style="2" customWidth="1"/>
  </cols>
  <sheetData>
    <row r="1" spans="1:4" ht="12.75" customHeight="1" x14ac:dyDescent="0.25"/>
    <row r="2" spans="1:4" ht="24" thickBot="1" x14ac:dyDescent="0.4">
      <c r="A2" s="163" t="s">
        <v>8</v>
      </c>
      <c r="B2" s="163"/>
      <c r="C2" s="163"/>
      <c r="D2" s="163"/>
    </row>
    <row r="3" spans="1:4" ht="24" thickBot="1" x14ac:dyDescent="0.4">
      <c r="A3" s="160" t="str">
        <f>Hold!A1</f>
        <v>Firma Bowlingturnering 2024</v>
      </c>
      <c r="B3" s="161"/>
      <c r="C3" s="161"/>
      <c r="D3" s="162"/>
    </row>
    <row r="4" spans="1:4" ht="18.75" thickBot="1" x14ac:dyDescent="0.3">
      <c r="A4" s="20"/>
      <c r="B4" s="164"/>
      <c r="C4" s="164"/>
      <c r="D4" s="164"/>
    </row>
    <row r="5" spans="1:4" ht="16.5" thickBot="1" x14ac:dyDescent="0.3">
      <c r="A5" s="18" t="s">
        <v>2</v>
      </c>
      <c r="B5" s="19" t="s">
        <v>3</v>
      </c>
      <c r="C5" s="54" t="s">
        <v>4</v>
      </c>
      <c r="D5" s="55" t="s">
        <v>5</v>
      </c>
    </row>
    <row r="6" spans="1:4" ht="15.75" x14ac:dyDescent="0.25">
      <c r="A6" s="16">
        <v>1</v>
      </c>
      <c r="B6" s="16">
        <f>Hold!A23</f>
        <v>3</v>
      </c>
      <c r="C6" s="59" t="str">
        <f>Hold!B23</f>
        <v>Birger k</v>
      </c>
      <c r="D6" s="62">
        <f>Hold!J23</f>
        <v>172.85714285714286</v>
      </c>
    </row>
    <row r="7" spans="1:4" ht="15.75" x14ac:dyDescent="0.25">
      <c r="A7" s="16">
        <v>2</v>
      </c>
      <c r="B7" s="58">
        <f>Hold!A144</f>
        <v>18</v>
      </c>
      <c r="C7" s="59" t="str">
        <f>Hold!B144</f>
        <v>Birger</v>
      </c>
      <c r="D7" s="62">
        <f>Hold!J144</f>
        <v>171.78571428571428</v>
      </c>
    </row>
    <row r="8" spans="1:4" ht="15.75" x14ac:dyDescent="0.25">
      <c r="A8" s="16">
        <v>3</v>
      </c>
      <c r="B8" s="58">
        <f>Hold!A54</f>
        <v>7</v>
      </c>
      <c r="C8" s="59" t="str">
        <f>Hold!B54</f>
        <v>Dan</v>
      </c>
      <c r="D8" s="62">
        <f>Hold!J54</f>
        <v>171</v>
      </c>
    </row>
    <row r="9" spans="1:4" ht="15.75" x14ac:dyDescent="0.25">
      <c r="A9" s="16">
        <v>4</v>
      </c>
      <c r="B9" s="58">
        <f>Hold!A13</f>
        <v>2</v>
      </c>
      <c r="C9" s="59" t="str">
        <f>Hold!B13</f>
        <v>Jan</v>
      </c>
      <c r="D9" s="62">
        <f>Hold!J13</f>
        <v>167.41666666666666</v>
      </c>
    </row>
    <row r="10" spans="1:4" ht="15.75" x14ac:dyDescent="0.25">
      <c r="A10" s="16">
        <v>5</v>
      </c>
      <c r="B10" s="58">
        <f>Hold!A166</f>
        <v>21</v>
      </c>
      <c r="C10" s="59" t="str">
        <f>Hold!B166</f>
        <v>Carsten</v>
      </c>
      <c r="D10" s="62">
        <f>Hold!J166</f>
        <v>167.25</v>
      </c>
    </row>
    <row r="11" spans="1:4" ht="15.75" x14ac:dyDescent="0.25">
      <c r="A11" s="58">
        <v>6</v>
      </c>
      <c r="B11" s="58">
        <f>Hold!A94</f>
        <v>12</v>
      </c>
      <c r="C11" s="59" t="str">
        <f>Hold!B94</f>
        <v>Egon</v>
      </c>
      <c r="D11" s="62">
        <f>Hold!J94</f>
        <v>164.85714285714286</v>
      </c>
    </row>
    <row r="12" spans="1:4" ht="15.75" x14ac:dyDescent="0.25">
      <c r="A12" s="58">
        <v>7</v>
      </c>
      <c r="B12" s="58">
        <f>Hold!A14</f>
        <v>2</v>
      </c>
      <c r="C12" s="59" t="str">
        <f>Hold!B14</f>
        <v>Matz</v>
      </c>
      <c r="D12" s="62">
        <f>Hold!J14</f>
        <v>162.25</v>
      </c>
    </row>
    <row r="13" spans="1:4" ht="15.75" x14ac:dyDescent="0.25">
      <c r="A13" s="58">
        <v>8</v>
      </c>
      <c r="B13" s="58">
        <f>Hold!A167</f>
        <v>21</v>
      </c>
      <c r="C13" s="59" t="str">
        <f>Hold!B167</f>
        <v>Jackie</v>
      </c>
      <c r="D13" s="62">
        <f>Hold!J167</f>
        <v>160.58333333333334</v>
      </c>
    </row>
    <row r="14" spans="1:4" ht="15.75" x14ac:dyDescent="0.25">
      <c r="A14" s="58">
        <v>9</v>
      </c>
      <c r="B14" s="58">
        <f>Hold!A9</f>
        <v>1</v>
      </c>
      <c r="C14" s="59" t="str">
        <f>Hold!B9</f>
        <v>Lene</v>
      </c>
      <c r="D14" s="62">
        <f>Hold!J9</f>
        <v>152.35714285714286</v>
      </c>
    </row>
    <row r="15" spans="1:4" ht="15.75" x14ac:dyDescent="0.25">
      <c r="A15" s="58">
        <v>10</v>
      </c>
      <c r="B15" s="58">
        <f>Hold!A165</f>
        <v>21</v>
      </c>
      <c r="C15" s="59" t="str">
        <f>Hold!B165</f>
        <v>Brian</v>
      </c>
      <c r="D15" s="62">
        <f>Hold!J165</f>
        <v>150.91666666666666</v>
      </c>
    </row>
    <row r="16" spans="1:4" ht="15.75" x14ac:dyDescent="0.25">
      <c r="A16" s="58">
        <v>11</v>
      </c>
      <c r="B16" s="58">
        <f>Hold!A101</f>
        <v>13</v>
      </c>
      <c r="C16" s="59" t="str">
        <f>Hold!B101</f>
        <v>Heidi</v>
      </c>
      <c r="D16" s="62">
        <f>Hold!J101</f>
        <v>150.83333333333334</v>
      </c>
    </row>
    <row r="17" spans="1:4" ht="15.75" x14ac:dyDescent="0.25">
      <c r="A17" s="58">
        <v>12</v>
      </c>
      <c r="B17" s="58">
        <f>Hold!A254</f>
        <v>32</v>
      </c>
      <c r="C17" s="59" t="str">
        <f>Hold!B254</f>
        <v>Mads</v>
      </c>
      <c r="D17" s="62">
        <f>Hold!J254</f>
        <v>150.78571428571428</v>
      </c>
    </row>
    <row r="18" spans="1:4" ht="15.75" x14ac:dyDescent="0.25">
      <c r="A18" s="58">
        <v>13</v>
      </c>
      <c r="B18" s="58">
        <f>Hold!A88</f>
        <v>11</v>
      </c>
      <c r="C18" s="59" t="str">
        <f>Hold!B88</f>
        <v>Ole</v>
      </c>
      <c r="D18" s="62">
        <f>Hold!J88</f>
        <v>150.75</v>
      </c>
    </row>
    <row r="19" spans="1:4" ht="15.75" x14ac:dyDescent="0.25">
      <c r="A19" s="58">
        <v>14</v>
      </c>
      <c r="B19" s="58">
        <f>Hold!A7</f>
        <v>1</v>
      </c>
      <c r="C19" s="59" t="str">
        <f>Hold!B7</f>
        <v>Jan</v>
      </c>
      <c r="D19" s="62">
        <f>Hold!J7</f>
        <v>149.21428571428572</v>
      </c>
    </row>
    <row r="20" spans="1:4" ht="15.75" x14ac:dyDescent="0.25">
      <c r="A20" s="58">
        <v>15</v>
      </c>
      <c r="B20" s="58">
        <f>Hold!A93</f>
        <v>12</v>
      </c>
      <c r="C20" s="59" t="str">
        <f>Hold!B93</f>
        <v>Finn Erik</v>
      </c>
      <c r="D20" s="62">
        <f>Hold!J93</f>
        <v>147.07142857142858</v>
      </c>
    </row>
    <row r="21" spans="1:4" ht="15.75" x14ac:dyDescent="0.25">
      <c r="A21" s="58">
        <v>16</v>
      </c>
      <c r="B21" s="58">
        <f>Hold!A63</f>
        <v>8</v>
      </c>
      <c r="C21" s="59" t="str">
        <f>Hold!B63</f>
        <v>Maane</v>
      </c>
      <c r="D21" s="62">
        <f>Hold!J63</f>
        <v>146</v>
      </c>
    </row>
    <row r="22" spans="1:4" ht="15.75" x14ac:dyDescent="0.25">
      <c r="A22" s="58">
        <v>17</v>
      </c>
      <c r="B22" s="58">
        <f>Hold!A143</f>
        <v>18</v>
      </c>
      <c r="C22" s="59" t="str">
        <f>Hold!B143</f>
        <v>Jesper</v>
      </c>
      <c r="D22" s="62">
        <f>Hold!J143</f>
        <v>145.5</v>
      </c>
    </row>
    <row r="23" spans="1:4" ht="15.75" x14ac:dyDescent="0.25">
      <c r="A23" s="58">
        <v>18</v>
      </c>
      <c r="B23" s="58">
        <f>Hold!A5</f>
        <v>1</v>
      </c>
      <c r="C23" s="59" t="str">
        <f>Hold!B5</f>
        <v>Allan</v>
      </c>
      <c r="D23" s="62">
        <f>Hold!J5</f>
        <v>144.92857142857142</v>
      </c>
    </row>
    <row r="24" spans="1:4" ht="15.75" x14ac:dyDescent="0.25">
      <c r="A24" s="58">
        <v>19</v>
      </c>
      <c r="B24" s="58">
        <f>Hold!A15</f>
        <v>2</v>
      </c>
      <c r="C24" s="59" t="str">
        <f>Hold!B15</f>
        <v>Michael</v>
      </c>
      <c r="D24" s="62">
        <f>Hold!J15</f>
        <v>144.41666666666666</v>
      </c>
    </row>
    <row r="25" spans="1:4" ht="15.75" x14ac:dyDescent="0.25">
      <c r="A25" s="58">
        <v>20</v>
      </c>
      <c r="B25" s="58">
        <f>Hold!A64</f>
        <v>8</v>
      </c>
      <c r="C25" s="59" t="str">
        <f>Hold!B64</f>
        <v>Kim</v>
      </c>
      <c r="D25" s="62">
        <f>Hold!J64</f>
        <v>143.1</v>
      </c>
    </row>
    <row r="26" spans="1:4" ht="15.75" x14ac:dyDescent="0.25">
      <c r="A26" s="58">
        <v>21</v>
      </c>
      <c r="B26" s="58">
        <f>Hold!A255</f>
        <v>32</v>
      </c>
      <c r="C26" s="59" t="str">
        <f>Hold!B255</f>
        <v>Nicky</v>
      </c>
      <c r="D26" s="62">
        <f>Hold!J255</f>
        <v>141.64285714285714</v>
      </c>
    </row>
    <row r="27" spans="1:4" ht="15.75" x14ac:dyDescent="0.25">
      <c r="A27" s="58">
        <v>22</v>
      </c>
      <c r="B27" s="58">
        <f>Hold!A253</f>
        <v>32</v>
      </c>
      <c r="C27" s="59" t="str">
        <f>Hold!B253</f>
        <v>Carsten</v>
      </c>
      <c r="D27" s="62">
        <f>Hold!J253</f>
        <v>141.28571428571428</v>
      </c>
    </row>
    <row r="28" spans="1:4" ht="15.75" x14ac:dyDescent="0.25">
      <c r="A28" s="58">
        <v>23</v>
      </c>
      <c r="B28" s="58">
        <f>Hold!A78</f>
        <v>10</v>
      </c>
      <c r="C28" s="59" t="str">
        <f>Hold!B78</f>
        <v>Preben</v>
      </c>
      <c r="D28" s="62">
        <f>Hold!J78</f>
        <v>139.69999999999999</v>
      </c>
    </row>
    <row r="29" spans="1:4" ht="15.75" x14ac:dyDescent="0.25">
      <c r="A29" s="58">
        <v>24</v>
      </c>
      <c r="B29" s="58">
        <f>Hold!A145</f>
        <v>18</v>
      </c>
      <c r="C29" s="59" t="str">
        <f>Hold!B145</f>
        <v>Mikki</v>
      </c>
      <c r="D29" s="62">
        <f>Hold!J145</f>
        <v>139.66666666666666</v>
      </c>
    </row>
    <row r="30" spans="1:4" ht="15.75" x14ac:dyDescent="0.25">
      <c r="A30" s="58">
        <v>25</v>
      </c>
      <c r="B30" s="58">
        <f>Hold!A117</f>
        <v>15</v>
      </c>
      <c r="C30" s="59" t="str">
        <f>Hold!B117</f>
        <v>Alex</v>
      </c>
      <c r="D30" s="62">
        <f>Hold!J117</f>
        <v>138.75</v>
      </c>
    </row>
    <row r="31" spans="1:4" ht="15.75" x14ac:dyDescent="0.25">
      <c r="A31" s="58">
        <v>26</v>
      </c>
      <c r="B31" s="58">
        <f>Hold!A32</f>
        <v>4</v>
      </c>
      <c r="C31" s="59" t="str">
        <f>Hold!B32</f>
        <v>Kasper</v>
      </c>
      <c r="D31" s="62">
        <f>Hold!J32</f>
        <v>138.5</v>
      </c>
    </row>
    <row r="32" spans="1:4" ht="15.75" x14ac:dyDescent="0.25">
      <c r="A32" s="58">
        <v>27</v>
      </c>
      <c r="B32" s="58">
        <f>Hold!A86</f>
        <v>11</v>
      </c>
      <c r="C32" s="59" t="str">
        <f>Hold!B86</f>
        <v>Erol</v>
      </c>
      <c r="D32" s="62">
        <f>Hold!J86</f>
        <v>137.5</v>
      </c>
    </row>
    <row r="33" spans="1:4" ht="15.75" x14ac:dyDescent="0.25">
      <c r="A33" s="58">
        <v>28</v>
      </c>
      <c r="B33" s="58">
        <f>Hold!A102</f>
        <v>13</v>
      </c>
      <c r="C33" s="59" t="str">
        <f>Hold!B102</f>
        <v>Ilse</v>
      </c>
      <c r="D33" s="62">
        <f>Hold!J102</f>
        <v>136.75</v>
      </c>
    </row>
    <row r="34" spans="1:4" ht="15.75" x14ac:dyDescent="0.25">
      <c r="A34" s="58">
        <v>29</v>
      </c>
      <c r="B34" s="58">
        <f>Hold!A135</f>
        <v>17</v>
      </c>
      <c r="C34" s="59" t="str">
        <f>Hold!B135</f>
        <v>Nik</v>
      </c>
      <c r="D34" s="62">
        <f>Hold!J135</f>
        <v>136.1</v>
      </c>
    </row>
    <row r="35" spans="1:4" ht="15.75" x14ac:dyDescent="0.25">
      <c r="A35" s="58">
        <v>30</v>
      </c>
      <c r="B35" s="58">
        <f>Hold!A240</f>
        <v>30</v>
      </c>
      <c r="C35" s="59" t="str">
        <f>Hold!B240</f>
        <v>Rene</v>
      </c>
      <c r="D35" s="62">
        <f>Hold!J240</f>
        <v>135.80000000000001</v>
      </c>
    </row>
    <row r="36" spans="1:4" ht="15.75" x14ac:dyDescent="0.25">
      <c r="A36" s="58">
        <v>31</v>
      </c>
      <c r="B36" s="58">
        <f>Hold!A62</f>
        <v>8</v>
      </c>
      <c r="C36" s="59" t="str">
        <f>Hold!B62</f>
        <v>Allan</v>
      </c>
      <c r="D36" s="62">
        <f>Hold!J62</f>
        <v>134.19999999999999</v>
      </c>
    </row>
    <row r="37" spans="1:4" ht="15.75" x14ac:dyDescent="0.25">
      <c r="A37" s="58">
        <v>32</v>
      </c>
      <c r="B37" s="58">
        <f>Hold!A85</f>
        <v>11</v>
      </c>
      <c r="C37" s="59" t="str">
        <f>Hold!B85</f>
        <v>Per</v>
      </c>
      <c r="D37" s="62">
        <f>Hold!J85</f>
        <v>132.625</v>
      </c>
    </row>
    <row r="38" spans="1:4" ht="15.75" x14ac:dyDescent="0.25">
      <c r="A38" s="58">
        <v>33</v>
      </c>
      <c r="B38" s="58">
        <f>Hold!A61</f>
        <v>8</v>
      </c>
      <c r="C38" s="59" t="str">
        <f>Hold!B61</f>
        <v>Oliver</v>
      </c>
      <c r="D38" s="62">
        <f>Hold!J61</f>
        <v>131.69999999999999</v>
      </c>
    </row>
    <row r="39" spans="1:4" ht="15.75" x14ac:dyDescent="0.25">
      <c r="A39" s="58">
        <v>34</v>
      </c>
      <c r="B39" s="58">
        <f>Hold!A38</f>
        <v>5</v>
      </c>
      <c r="C39" s="59" t="str">
        <f>Hold!B38</f>
        <v>Per</v>
      </c>
      <c r="D39" s="62">
        <f>Hold!J38</f>
        <v>131.58333333333334</v>
      </c>
    </row>
    <row r="40" spans="1:4" ht="15.75" x14ac:dyDescent="0.25">
      <c r="A40" s="58">
        <v>35</v>
      </c>
      <c r="B40" s="58">
        <f>Hold!A79</f>
        <v>10</v>
      </c>
      <c r="C40" s="59" t="str">
        <f>Hold!B79</f>
        <v>Henrik S</v>
      </c>
      <c r="D40" s="62">
        <f>Hold!J79</f>
        <v>131.28571428571428</v>
      </c>
    </row>
    <row r="41" spans="1:4" ht="15.75" x14ac:dyDescent="0.25">
      <c r="A41" s="58">
        <v>36</v>
      </c>
      <c r="B41" s="58">
        <f>Hold!A141</f>
        <v>18</v>
      </c>
      <c r="C41" s="59" t="str">
        <f>Hold!B141</f>
        <v>Helga</v>
      </c>
      <c r="D41" s="62">
        <f>Hold!J141</f>
        <v>130.42857142857142</v>
      </c>
    </row>
    <row r="42" spans="1:4" ht="15.75" x14ac:dyDescent="0.25">
      <c r="A42" s="58">
        <v>37</v>
      </c>
      <c r="B42" s="58">
        <f>Hold!A134</f>
        <v>17</v>
      </c>
      <c r="C42" s="59" t="str">
        <f>Hold!B134</f>
        <v>Mik</v>
      </c>
      <c r="D42" s="62">
        <f>Hold!J134</f>
        <v>129</v>
      </c>
    </row>
    <row r="43" spans="1:4" ht="15.75" x14ac:dyDescent="0.25">
      <c r="A43" s="58">
        <v>38</v>
      </c>
      <c r="B43" s="58">
        <f>Hold!A37</f>
        <v>5</v>
      </c>
      <c r="C43" s="59" t="str">
        <f>Hold!B37</f>
        <v>Mark</v>
      </c>
      <c r="D43" s="62">
        <f>Hold!J37</f>
        <v>129</v>
      </c>
    </row>
    <row r="44" spans="1:4" ht="15.75" x14ac:dyDescent="0.25">
      <c r="A44" s="58">
        <v>39</v>
      </c>
      <c r="B44" s="58">
        <f>Hold!A39</f>
        <v>5</v>
      </c>
      <c r="C44" s="59" t="str">
        <f>Hold!B39</f>
        <v>Torkild</v>
      </c>
      <c r="D44" s="62">
        <f>Hold!J39</f>
        <v>128.5</v>
      </c>
    </row>
    <row r="45" spans="1:4" ht="15.75" x14ac:dyDescent="0.25">
      <c r="A45" s="58">
        <v>40</v>
      </c>
      <c r="B45" s="58">
        <f>Hold!A175</f>
        <v>22</v>
      </c>
      <c r="C45" s="59" t="str">
        <f>Hold!B175</f>
        <v>Tina</v>
      </c>
      <c r="D45" s="62">
        <f>Hold!J175</f>
        <v>128</v>
      </c>
    </row>
    <row r="46" spans="1:4" ht="15.75" x14ac:dyDescent="0.25">
      <c r="A46" s="58">
        <v>41</v>
      </c>
      <c r="B46" s="58">
        <f>Hold!A103</f>
        <v>13</v>
      </c>
      <c r="C46" s="59" t="str">
        <f>Hold!B103</f>
        <v>Birgitte</v>
      </c>
      <c r="D46" s="62">
        <f>Hold!J103</f>
        <v>127.41666666666667</v>
      </c>
    </row>
    <row r="47" spans="1:4" ht="15.75" x14ac:dyDescent="0.25">
      <c r="A47" s="58">
        <v>42</v>
      </c>
      <c r="B47" s="58">
        <f>Hold!A229</f>
        <v>29</v>
      </c>
      <c r="C47" s="59" t="str">
        <f>Hold!B229</f>
        <v>Kris</v>
      </c>
      <c r="D47" s="62">
        <f>Hold!J229</f>
        <v>125.21428571428571</v>
      </c>
    </row>
    <row r="48" spans="1:4" ht="15.75" x14ac:dyDescent="0.25">
      <c r="A48" s="58">
        <v>43</v>
      </c>
      <c r="B48" s="58">
        <f>Hold!A21</f>
        <v>3</v>
      </c>
      <c r="C48" s="59" t="str">
        <f>Hold!B21</f>
        <v>Carsten</v>
      </c>
      <c r="D48" s="62">
        <f>Hold!J21</f>
        <v>124.71428571428571</v>
      </c>
    </row>
    <row r="49" spans="1:4" ht="15.75" x14ac:dyDescent="0.25">
      <c r="A49" s="58">
        <v>44</v>
      </c>
      <c r="B49" s="58">
        <f>Hold!A109</f>
        <v>14</v>
      </c>
      <c r="C49" s="59" t="str">
        <f>Hold!B109</f>
        <v>Ivan</v>
      </c>
      <c r="D49" s="62">
        <f>Hold!J109</f>
        <v>124</v>
      </c>
    </row>
    <row r="50" spans="1:4" ht="15.75" x14ac:dyDescent="0.25">
      <c r="A50" s="58">
        <v>45</v>
      </c>
      <c r="B50" s="58">
        <f>Hold!A95</f>
        <v>12</v>
      </c>
      <c r="C50" s="59" t="str">
        <f>Hold!B95</f>
        <v>Finn</v>
      </c>
      <c r="D50" s="62">
        <f>Hold!J95</f>
        <v>123.78571428571429</v>
      </c>
    </row>
    <row r="51" spans="1:4" ht="15.75" x14ac:dyDescent="0.25">
      <c r="A51" s="58">
        <v>46</v>
      </c>
      <c r="B51" s="58">
        <f>Hold!A245</f>
        <v>31</v>
      </c>
      <c r="C51" s="59" t="str">
        <f>Hold!B245</f>
        <v>Cliff</v>
      </c>
      <c r="D51" s="62">
        <f>Hold!J245</f>
        <v>123.71428571428571</v>
      </c>
    </row>
    <row r="52" spans="1:4" ht="15.75" x14ac:dyDescent="0.25">
      <c r="A52" s="58">
        <v>47</v>
      </c>
      <c r="B52" s="58">
        <f>Hold!A30</f>
        <v>4</v>
      </c>
      <c r="C52" s="59" t="str">
        <f>Hold!B30</f>
        <v>Jannik</v>
      </c>
      <c r="D52" s="62">
        <f>Hold!J30</f>
        <v>123.66666666666667</v>
      </c>
    </row>
    <row r="53" spans="1:4" ht="15.75" x14ac:dyDescent="0.25">
      <c r="A53" s="58">
        <v>48</v>
      </c>
      <c r="B53" s="58">
        <f>Hold!A31</f>
        <v>4</v>
      </c>
      <c r="C53" s="59" t="str">
        <f>Hold!B31</f>
        <v>Torben</v>
      </c>
      <c r="D53" s="62">
        <f>Hold!J31</f>
        <v>123.5</v>
      </c>
    </row>
    <row r="54" spans="1:4" ht="15.75" x14ac:dyDescent="0.25">
      <c r="A54" s="58">
        <v>49</v>
      </c>
      <c r="B54" s="58">
        <f>Hold!A96</f>
        <v>12</v>
      </c>
      <c r="C54" s="59" t="str">
        <f>Hold!B96</f>
        <v>Bitten</v>
      </c>
      <c r="D54" s="62">
        <f>Hold!J96</f>
        <v>122.71428571428571</v>
      </c>
    </row>
    <row r="55" spans="1:4" ht="15.75" x14ac:dyDescent="0.25">
      <c r="A55" s="58">
        <v>50</v>
      </c>
      <c r="B55" s="58">
        <f>Hold!A174</f>
        <v>22</v>
      </c>
      <c r="C55" s="59" t="str">
        <f>Hold!B174</f>
        <v>Herluf</v>
      </c>
      <c r="D55" s="62">
        <f>Hold!J174</f>
        <v>122.33333333333333</v>
      </c>
    </row>
    <row r="56" spans="1:4" ht="15.75" x14ac:dyDescent="0.25">
      <c r="A56" s="58">
        <v>51</v>
      </c>
      <c r="B56" s="58">
        <f>Hold!A104</f>
        <v>13</v>
      </c>
      <c r="C56" s="59" t="str">
        <f>Hold!B104</f>
        <v>Pia</v>
      </c>
      <c r="D56" s="62">
        <f>Hold!J104</f>
        <v>122.16666666666667</v>
      </c>
    </row>
    <row r="57" spans="1:4" ht="15.75" x14ac:dyDescent="0.25">
      <c r="A57" s="58">
        <v>52</v>
      </c>
      <c r="B57" s="58">
        <f>Hold!A127</f>
        <v>16</v>
      </c>
      <c r="C57" s="59" t="str">
        <f>Hold!B127</f>
        <v>Tommy</v>
      </c>
      <c r="D57" s="62">
        <f>Hold!J127</f>
        <v>122</v>
      </c>
    </row>
    <row r="58" spans="1:4" ht="15.75" x14ac:dyDescent="0.25">
      <c r="A58" s="58">
        <v>53</v>
      </c>
      <c r="B58" s="58">
        <f>Hold!A198</f>
        <v>25</v>
      </c>
      <c r="C58" s="59" t="str">
        <f>Hold!B198</f>
        <v>Jens-Ole</v>
      </c>
      <c r="D58" s="62">
        <f>Hold!J198</f>
        <v>121.85714285714286</v>
      </c>
    </row>
    <row r="59" spans="1:4" ht="15.75" x14ac:dyDescent="0.25">
      <c r="A59" s="58">
        <v>54</v>
      </c>
      <c r="B59" s="58">
        <f>Hold!A231</f>
        <v>29</v>
      </c>
      <c r="C59" s="59" t="str">
        <f>Hold!B231</f>
        <v>Mathias</v>
      </c>
      <c r="D59" s="62">
        <f>Hold!J231</f>
        <v>121.28571428571429</v>
      </c>
    </row>
    <row r="60" spans="1:4" ht="15.75" x14ac:dyDescent="0.25">
      <c r="A60" s="58">
        <v>55</v>
      </c>
      <c r="B60" s="58">
        <f>Hold!A248</f>
        <v>31</v>
      </c>
      <c r="C60" s="59" t="str">
        <f>Hold!B248</f>
        <v>Thomas</v>
      </c>
      <c r="D60" s="62">
        <f>Hold!J248</f>
        <v>120.42857142857143</v>
      </c>
    </row>
    <row r="61" spans="1:4" ht="15.75" x14ac:dyDescent="0.25">
      <c r="A61" s="58">
        <v>56</v>
      </c>
      <c r="B61" s="58">
        <f>Hold!A199</f>
        <v>25</v>
      </c>
      <c r="C61" s="59" t="str">
        <f>Hold!B199</f>
        <v>Lauge</v>
      </c>
      <c r="D61" s="62">
        <f>Hold!J199</f>
        <v>120.28571428571429</v>
      </c>
    </row>
    <row r="62" spans="1:4" ht="15.75" x14ac:dyDescent="0.25">
      <c r="A62" s="58">
        <v>57</v>
      </c>
      <c r="B62" s="58">
        <f>Hold!A110</f>
        <v>14</v>
      </c>
      <c r="C62" s="59" t="str">
        <f>Hold!B110</f>
        <v>Magnus</v>
      </c>
      <c r="D62" s="62">
        <f>Hold!J110</f>
        <v>120.25</v>
      </c>
    </row>
    <row r="63" spans="1:4" ht="15.75" x14ac:dyDescent="0.25">
      <c r="A63" s="58">
        <v>58</v>
      </c>
      <c r="B63" s="58">
        <f>Hold!A232</f>
        <v>29</v>
      </c>
      <c r="C63" s="59" t="str">
        <f>Hold!B232</f>
        <v>Steen</v>
      </c>
      <c r="D63" s="62">
        <f>Hold!J232</f>
        <v>120.21428571428571</v>
      </c>
    </row>
    <row r="64" spans="1:4" ht="15.75" x14ac:dyDescent="0.25">
      <c r="A64" s="58">
        <v>59</v>
      </c>
      <c r="B64" s="58">
        <f>Hold!A55</f>
        <v>7</v>
      </c>
      <c r="C64" s="59" t="str">
        <f>Hold!B55</f>
        <v>Juline</v>
      </c>
      <c r="D64" s="62">
        <f>Hold!J55</f>
        <v>118.92857142857143</v>
      </c>
    </row>
    <row r="65" spans="1:4" ht="15.75" x14ac:dyDescent="0.25">
      <c r="A65" s="58">
        <v>60</v>
      </c>
      <c r="B65" s="58">
        <f>Hold!A119</f>
        <v>15</v>
      </c>
      <c r="C65" s="59" t="str">
        <f>Hold!B119</f>
        <v>Torben</v>
      </c>
      <c r="D65" s="62">
        <f>Hold!J119</f>
        <v>118.91666666666667</v>
      </c>
    </row>
    <row r="66" spans="1:4" ht="15.75" x14ac:dyDescent="0.25">
      <c r="A66" s="58">
        <v>61</v>
      </c>
      <c r="B66" s="58">
        <f>Hold!A197</f>
        <v>25</v>
      </c>
      <c r="C66" s="59" t="str">
        <f>Hold!B197</f>
        <v>Finn</v>
      </c>
      <c r="D66" s="62">
        <f>Hold!J197</f>
        <v>118.28571428571429</v>
      </c>
    </row>
    <row r="67" spans="1:4" ht="15.75" x14ac:dyDescent="0.25">
      <c r="A67" s="58">
        <v>62</v>
      </c>
      <c r="B67" s="58">
        <f>Hold!A173</f>
        <v>22</v>
      </c>
      <c r="C67" s="59" t="str">
        <f>Hold!B173</f>
        <v>Birthe</v>
      </c>
      <c r="D67" s="62">
        <f>Hold!J173</f>
        <v>118.25</v>
      </c>
    </row>
    <row r="68" spans="1:4" ht="15.75" x14ac:dyDescent="0.25">
      <c r="A68" s="58">
        <v>63</v>
      </c>
      <c r="B68" s="58">
        <f>Hold!A230</f>
        <v>29</v>
      </c>
      <c r="C68" s="59" t="str">
        <f>Hold!B230</f>
        <v>Line</v>
      </c>
      <c r="D68" s="62">
        <f>Hold!J230</f>
        <v>116.33333333333333</v>
      </c>
    </row>
    <row r="69" spans="1:4" ht="15.75" x14ac:dyDescent="0.25">
      <c r="A69" s="58">
        <v>64</v>
      </c>
      <c r="B69" s="58">
        <f>Hold!A29</f>
        <v>4</v>
      </c>
      <c r="C69" s="59" t="str">
        <f>Hold!B29</f>
        <v>Elias</v>
      </c>
      <c r="D69" s="62">
        <f>Hold!J29</f>
        <v>115.75</v>
      </c>
    </row>
    <row r="70" spans="1:4" ht="15.75" x14ac:dyDescent="0.25">
      <c r="A70" s="58">
        <v>65</v>
      </c>
      <c r="B70" s="58">
        <f>Hold!A71</f>
        <v>9</v>
      </c>
      <c r="C70" s="59" t="str">
        <f>Hold!B71</f>
        <v>Thomas</v>
      </c>
      <c r="D70" s="62">
        <f>Hold!J71</f>
        <v>115.33333333333333</v>
      </c>
    </row>
    <row r="71" spans="1:4" ht="15.75" x14ac:dyDescent="0.25">
      <c r="A71" s="58">
        <v>66</v>
      </c>
      <c r="B71" s="58">
        <f>Hold!A80</f>
        <v>10</v>
      </c>
      <c r="C71" s="59" t="str">
        <f>Hold!B80</f>
        <v>Niels L</v>
      </c>
      <c r="D71" s="62">
        <f>Hold!J80</f>
        <v>115.25</v>
      </c>
    </row>
    <row r="72" spans="1:4" ht="15.75" x14ac:dyDescent="0.25">
      <c r="A72" s="58">
        <v>67</v>
      </c>
      <c r="B72" s="58">
        <f>Hold!A224</f>
        <v>28</v>
      </c>
      <c r="C72" s="59" t="str">
        <f>Hold!B224</f>
        <v>Linette</v>
      </c>
      <c r="D72" s="62">
        <f>Hold!J224</f>
        <v>114.25</v>
      </c>
    </row>
    <row r="73" spans="1:4" ht="15.75" x14ac:dyDescent="0.25">
      <c r="A73" s="58">
        <v>68</v>
      </c>
      <c r="B73" s="58">
        <f>Hold!A69</f>
        <v>9</v>
      </c>
      <c r="C73" s="59" t="str">
        <f>Hold!B69</f>
        <v>DM</v>
      </c>
      <c r="D73" s="62">
        <f>Hold!J69</f>
        <v>114</v>
      </c>
    </row>
    <row r="74" spans="1:4" ht="15.75" x14ac:dyDescent="0.25">
      <c r="A74" s="58">
        <v>69</v>
      </c>
      <c r="B74" s="58">
        <f>Hold!A125</f>
        <v>16</v>
      </c>
      <c r="C74" s="59" t="str">
        <f>Hold!B125</f>
        <v>Holm</v>
      </c>
      <c r="D74" s="62">
        <f>Hold!J125</f>
        <v>113.7</v>
      </c>
    </row>
    <row r="75" spans="1:4" ht="15.75" x14ac:dyDescent="0.25">
      <c r="A75" s="58">
        <v>70</v>
      </c>
      <c r="B75" s="58">
        <f>Hold!A87</f>
        <v>11</v>
      </c>
      <c r="C75" s="59" t="str">
        <f>Hold!B87</f>
        <v>Jan</v>
      </c>
      <c r="D75" s="62">
        <f>Hold!J87</f>
        <v>112.125</v>
      </c>
    </row>
    <row r="76" spans="1:4" ht="15.75" x14ac:dyDescent="0.25">
      <c r="A76" s="58">
        <v>71</v>
      </c>
      <c r="B76" s="58">
        <f>Hold!A247</f>
        <v>31</v>
      </c>
      <c r="C76" s="59" t="str">
        <f>Hold!B247</f>
        <v>Stefan</v>
      </c>
      <c r="D76" s="62">
        <f>Hold!J247</f>
        <v>111.92857142857143</v>
      </c>
    </row>
    <row r="77" spans="1:4" ht="15.75" x14ac:dyDescent="0.25">
      <c r="A77" s="58">
        <v>72</v>
      </c>
      <c r="B77" s="58">
        <f>Hold!A133</f>
        <v>17</v>
      </c>
      <c r="C77" s="59" t="str">
        <f>Hold!B133</f>
        <v>Leo</v>
      </c>
      <c r="D77" s="62">
        <f>Hold!J133</f>
        <v>111.9</v>
      </c>
    </row>
    <row r="78" spans="1:4" ht="15.75" x14ac:dyDescent="0.25">
      <c r="A78" s="58">
        <v>73</v>
      </c>
      <c r="B78" s="58">
        <f>Hold!A22</f>
        <v>3</v>
      </c>
      <c r="C78" s="59" t="str">
        <f>Hold!B22</f>
        <v>Bjarne</v>
      </c>
      <c r="D78" s="62">
        <f>Hold!J22</f>
        <v>111.85714285714286</v>
      </c>
    </row>
    <row r="79" spans="1:4" ht="15.75" x14ac:dyDescent="0.25">
      <c r="A79" s="58">
        <v>74</v>
      </c>
      <c r="B79" s="58">
        <f>Hold!A161</f>
        <v>20</v>
      </c>
      <c r="C79" s="59" t="str">
        <f>Hold!B161</f>
        <v>Lone</v>
      </c>
      <c r="D79" s="62">
        <f>Hold!J161</f>
        <v>111.66666666666667</v>
      </c>
    </row>
    <row r="80" spans="1:4" ht="15.75" x14ac:dyDescent="0.25">
      <c r="A80" s="58">
        <v>75</v>
      </c>
      <c r="B80" s="58">
        <f>Hold!A214</f>
        <v>27</v>
      </c>
      <c r="C80" s="59" t="str">
        <f>Hold!B214</f>
        <v>Christine</v>
      </c>
      <c r="D80" s="62">
        <f>Hold!J214</f>
        <v>111.42857142857143</v>
      </c>
    </row>
    <row r="81" spans="1:4" ht="15.75" x14ac:dyDescent="0.25">
      <c r="A81" s="58">
        <v>76</v>
      </c>
      <c r="B81" s="58">
        <f>Hold!A45</f>
        <v>6</v>
      </c>
      <c r="C81" s="59" t="str">
        <f>Hold!B45</f>
        <v>AS</v>
      </c>
      <c r="D81" s="62">
        <f>Hold!J45</f>
        <v>111.35714285714286</v>
      </c>
    </row>
    <row r="82" spans="1:4" ht="15.75" x14ac:dyDescent="0.25">
      <c r="A82" s="58">
        <v>77</v>
      </c>
      <c r="B82" s="58">
        <f>Hold!A77</f>
        <v>10</v>
      </c>
      <c r="C82" s="59" t="str">
        <f>Hold!B77</f>
        <v>Allan J</v>
      </c>
      <c r="D82" s="62">
        <f>Hold!J77</f>
        <v>110.64285714285714</v>
      </c>
    </row>
    <row r="83" spans="1:4" ht="15.75" x14ac:dyDescent="0.25">
      <c r="A83" s="58">
        <v>78</v>
      </c>
      <c r="B83" s="58">
        <f>Hold!A238</f>
        <v>30</v>
      </c>
      <c r="C83" s="59" t="str">
        <f>Hold!B238</f>
        <v>Claus</v>
      </c>
      <c r="D83" s="62">
        <f>Hold!J238</f>
        <v>109.91666666666667</v>
      </c>
    </row>
    <row r="84" spans="1:4" ht="15.75" x14ac:dyDescent="0.25">
      <c r="A84" s="58">
        <v>79</v>
      </c>
      <c r="B84" s="58">
        <f>Hold!A222</f>
        <v>28</v>
      </c>
      <c r="C84" s="59" t="str">
        <f>Hold!B222</f>
        <v>casper</v>
      </c>
      <c r="D84" s="62">
        <f>Hold!J222</f>
        <v>109.42857142857143</v>
      </c>
    </row>
    <row r="85" spans="1:4" ht="15.75" x14ac:dyDescent="0.25">
      <c r="A85" s="58">
        <v>80</v>
      </c>
      <c r="B85" s="58">
        <f>Hold!A246</f>
        <v>31</v>
      </c>
      <c r="C85" s="59" t="str">
        <f>Hold!B246</f>
        <v>Mogens</v>
      </c>
      <c r="D85" s="62">
        <f>Hold!J246</f>
        <v>109.07142857142857</v>
      </c>
    </row>
    <row r="86" spans="1:4" ht="15.75" x14ac:dyDescent="0.25">
      <c r="A86" s="58">
        <v>81</v>
      </c>
      <c r="B86" s="58">
        <f>Hold!A213</f>
        <v>27</v>
      </c>
      <c r="C86" s="59" t="str">
        <f>Hold!B213</f>
        <v>Birgitte P</v>
      </c>
      <c r="D86" s="62">
        <f>Hold!J213</f>
        <v>108.21428571428571</v>
      </c>
    </row>
    <row r="87" spans="1:4" ht="15.75" x14ac:dyDescent="0.25">
      <c r="A87" s="58">
        <v>82</v>
      </c>
      <c r="B87" s="58">
        <f>Hold!A189</f>
        <v>24</v>
      </c>
      <c r="C87" s="59" t="str">
        <f>Hold!B189</f>
        <v>Oliver</v>
      </c>
      <c r="D87" s="62">
        <f>Hold!J189</f>
        <v>107.1</v>
      </c>
    </row>
    <row r="88" spans="1:4" ht="15.75" x14ac:dyDescent="0.25">
      <c r="A88" s="58">
        <v>83</v>
      </c>
      <c r="B88" s="58">
        <f>Hold!A46</f>
        <v>6</v>
      </c>
      <c r="C88" s="59" t="str">
        <f>Hold!B46</f>
        <v>Astrid</v>
      </c>
      <c r="D88" s="62">
        <f>Hold!J46</f>
        <v>107.07142857142857</v>
      </c>
    </row>
    <row r="89" spans="1:4" ht="15.75" x14ac:dyDescent="0.25">
      <c r="A89" s="58">
        <v>84</v>
      </c>
      <c r="B89" s="58">
        <f>Hold!A215</f>
        <v>27</v>
      </c>
      <c r="C89" s="59" t="str">
        <f>Hold!B215</f>
        <v>Jeanette</v>
      </c>
      <c r="D89" s="62">
        <f>Hold!J215</f>
        <v>106.78571428571429</v>
      </c>
    </row>
    <row r="90" spans="1:4" ht="15.75" x14ac:dyDescent="0.25">
      <c r="A90" s="58">
        <v>85</v>
      </c>
      <c r="B90" s="58">
        <f>Hold!A193</f>
        <v>24</v>
      </c>
      <c r="C90" s="59" t="str">
        <f>Hold!B193</f>
        <v>Keld</v>
      </c>
      <c r="D90" s="62">
        <f>Hold!J193</f>
        <v>106.75</v>
      </c>
    </row>
    <row r="91" spans="1:4" ht="15.75" x14ac:dyDescent="0.25">
      <c r="A91" s="58">
        <v>86</v>
      </c>
      <c r="B91" s="58">
        <f>Hold!A118</f>
        <v>15</v>
      </c>
      <c r="C91" s="59" t="str">
        <f>Hold!B118</f>
        <v>Claus</v>
      </c>
      <c r="D91" s="62">
        <f>Hold!J118</f>
        <v>105.33333333333333</v>
      </c>
    </row>
    <row r="92" spans="1:4" ht="15.75" x14ac:dyDescent="0.25">
      <c r="A92" s="58">
        <v>87</v>
      </c>
      <c r="B92" s="58">
        <f>Hold!A159</f>
        <v>20</v>
      </c>
      <c r="C92" s="59" t="str">
        <f>Hold!B159</f>
        <v>Tina Agger</v>
      </c>
      <c r="D92" s="62">
        <f>Hold!J159</f>
        <v>102.5</v>
      </c>
    </row>
    <row r="93" spans="1:4" ht="15.75" x14ac:dyDescent="0.25">
      <c r="A93" s="58">
        <v>88</v>
      </c>
      <c r="B93" s="58">
        <f>Hold!A157</f>
        <v>20</v>
      </c>
      <c r="C93" s="59" t="str">
        <f>Hold!B157</f>
        <v>Laila Engebriksen</v>
      </c>
      <c r="D93" s="62">
        <f>Hold!J157</f>
        <v>101.5</v>
      </c>
    </row>
    <row r="94" spans="1:4" ht="15.75" x14ac:dyDescent="0.25">
      <c r="A94" s="58">
        <v>89</v>
      </c>
      <c r="B94" s="58">
        <f>Hold!A158</f>
        <v>20</v>
      </c>
      <c r="C94" s="59" t="str">
        <f>Hold!B158</f>
        <v xml:space="preserve">Britt-Marie Andersen </v>
      </c>
      <c r="D94" s="62">
        <f>Hold!J158</f>
        <v>100.66666666666667</v>
      </c>
    </row>
    <row r="95" spans="1:4" ht="15.75" x14ac:dyDescent="0.25">
      <c r="A95" s="58">
        <v>90</v>
      </c>
      <c r="B95" s="58">
        <f>Hold!A111</f>
        <v>14</v>
      </c>
      <c r="C95" s="59" t="str">
        <f>Hold!B111</f>
        <v>Peter</v>
      </c>
      <c r="D95" s="62">
        <f>Hold!J111</f>
        <v>98.583333333333329</v>
      </c>
    </row>
    <row r="96" spans="1:4" ht="15.75" x14ac:dyDescent="0.25">
      <c r="A96" s="58">
        <v>91</v>
      </c>
      <c r="B96" s="58">
        <f>Hold!A221</f>
        <v>28</v>
      </c>
      <c r="C96" s="59" t="str">
        <f>Hold!B221</f>
        <v>anne</v>
      </c>
      <c r="D96" s="62">
        <f>Hold!J221</f>
        <v>98.5</v>
      </c>
    </row>
    <row r="97" spans="1:4" ht="15.75" x14ac:dyDescent="0.25">
      <c r="A97" s="58">
        <v>92</v>
      </c>
      <c r="B97" s="58">
        <f>Hold!A192</f>
        <v>24</v>
      </c>
      <c r="C97" s="59" t="str">
        <f>Hold!B192</f>
        <v>Winnie</v>
      </c>
      <c r="D97" s="62">
        <f>Hold!J192</f>
        <v>97.7</v>
      </c>
    </row>
    <row r="98" spans="1:4" ht="15.75" x14ac:dyDescent="0.25">
      <c r="A98" s="58">
        <v>93</v>
      </c>
      <c r="B98" s="58">
        <f>Hold!A150</f>
        <v>19</v>
      </c>
      <c r="C98" s="59" t="str">
        <f>Hold!B150</f>
        <v>Ida</v>
      </c>
      <c r="D98" s="62">
        <f>Hold!J150</f>
        <v>97.333333333333329</v>
      </c>
    </row>
    <row r="99" spans="1:4" ht="15.75" x14ac:dyDescent="0.25">
      <c r="A99" s="58">
        <v>94</v>
      </c>
      <c r="B99" s="58">
        <f>Hold!A151</f>
        <v>19</v>
      </c>
      <c r="C99" s="59" t="str">
        <f>Hold!B151</f>
        <v>Jeanette</v>
      </c>
      <c r="D99" s="62">
        <f>Hold!J151</f>
        <v>97</v>
      </c>
    </row>
    <row r="100" spans="1:4" ht="15.75" x14ac:dyDescent="0.25">
      <c r="A100" s="58">
        <v>95</v>
      </c>
      <c r="B100" s="58">
        <f>Hold!A160</f>
        <v>20</v>
      </c>
      <c r="C100" s="59" t="str">
        <f>Hold!B160</f>
        <v>Noëlle Larsen</v>
      </c>
      <c r="D100" s="62">
        <f>Hold!J160</f>
        <v>96.714285714285708</v>
      </c>
    </row>
    <row r="101" spans="1:4" ht="15.75" x14ac:dyDescent="0.25">
      <c r="A101" s="58">
        <v>96</v>
      </c>
      <c r="B101" s="58">
        <f>Hold!A237</f>
        <v>30</v>
      </c>
      <c r="C101" s="59" t="str">
        <f>Hold!B237</f>
        <v>Christina</v>
      </c>
      <c r="D101" s="62">
        <f>Hold!J237</f>
        <v>96.142857142857139</v>
      </c>
    </row>
    <row r="102" spans="1:4" ht="15.75" x14ac:dyDescent="0.25">
      <c r="A102" s="58">
        <v>97</v>
      </c>
      <c r="B102" s="58">
        <f>Hold!A126</f>
        <v>16</v>
      </c>
      <c r="C102" s="59" t="str">
        <f>Hold!B126</f>
        <v>PC</v>
      </c>
      <c r="D102" s="62">
        <f>Hold!J126</f>
        <v>94.3</v>
      </c>
    </row>
    <row r="103" spans="1:4" ht="15.75" x14ac:dyDescent="0.25">
      <c r="A103" s="58">
        <v>98</v>
      </c>
      <c r="B103" s="58">
        <f>Hold!A190</f>
        <v>24</v>
      </c>
      <c r="C103" s="59" t="str">
        <f>Hold!B190</f>
        <v>Rikke</v>
      </c>
      <c r="D103" s="62">
        <f>Hold!J190</f>
        <v>93.666666666666671</v>
      </c>
    </row>
    <row r="104" spans="1:4" ht="15.75" x14ac:dyDescent="0.25">
      <c r="A104" s="58">
        <v>99</v>
      </c>
      <c r="B104" s="58">
        <f>Hold!A70</f>
        <v>9</v>
      </c>
      <c r="C104" s="59" t="str">
        <f>Hold!B70</f>
        <v>Jesper</v>
      </c>
      <c r="D104" s="62">
        <f>Hold!J70</f>
        <v>91.333333333333329</v>
      </c>
    </row>
    <row r="105" spans="1:4" ht="15.75" x14ac:dyDescent="0.25">
      <c r="A105" s="58">
        <v>100</v>
      </c>
      <c r="B105" s="58">
        <f>Hold!A191</f>
        <v>24</v>
      </c>
      <c r="C105" s="59" t="str">
        <f>Hold!B191</f>
        <v>Sanne</v>
      </c>
      <c r="D105" s="62">
        <f>Hold!J191</f>
        <v>90.875</v>
      </c>
    </row>
    <row r="106" spans="1:4" ht="15.75" x14ac:dyDescent="0.25">
      <c r="A106" s="58">
        <v>101</v>
      </c>
      <c r="B106" s="58">
        <f>Hold!A223</f>
        <v>28</v>
      </c>
      <c r="C106" s="59" t="str">
        <f>Hold!B223</f>
        <v>kim</v>
      </c>
      <c r="D106" s="62">
        <f>Hold!J223</f>
        <v>90.428571428571431</v>
      </c>
    </row>
    <row r="107" spans="1:4" ht="15.75" x14ac:dyDescent="0.25">
      <c r="A107" s="58">
        <v>102</v>
      </c>
      <c r="B107" s="58">
        <f>Hold!A205</f>
        <v>26</v>
      </c>
      <c r="C107" s="59" t="str">
        <f>Hold!B205</f>
        <v>Birgitte</v>
      </c>
      <c r="D107" s="62">
        <f>Hold!J205</f>
        <v>90.357142857142861</v>
      </c>
    </row>
    <row r="108" spans="1:4" ht="15.75" x14ac:dyDescent="0.25">
      <c r="A108" s="58">
        <v>103</v>
      </c>
      <c r="B108" s="58">
        <f>Hold!A152</f>
        <v>19</v>
      </c>
      <c r="C108" s="59" t="str">
        <f>Hold!B152</f>
        <v>Pernille</v>
      </c>
      <c r="D108" s="62">
        <f>Hold!J152</f>
        <v>89.5</v>
      </c>
    </row>
    <row r="109" spans="1:4" ht="15.75" x14ac:dyDescent="0.25">
      <c r="A109" s="58">
        <v>104</v>
      </c>
      <c r="B109" s="58">
        <f>Hold!A239</f>
        <v>30</v>
      </c>
      <c r="C109" s="59" t="str">
        <f>Hold!B239</f>
        <v>Kristian</v>
      </c>
      <c r="D109" s="62">
        <f>Hold!J239</f>
        <v>88.916666666666671</v>
      </c>
    </row>
    <row r="110" spans="1:4" ht="15.75" x14ac:dyDescent="0.25">
      <c r="A110" s="58">
        <v>105</v>
      </c>
      <c r="B110" s="58">
        <f>Hold!A216</f>
        <v>27</v>
      </c>
      <c r="C110" s="59" t="str">
        <f>Hold!B216</f>
        <v>Torben</v>
      </c>
      <c r="D110" s="62">
        <f>Hold!J216</f>
        <v>87.642857142857139</v>
      </c>
    </row>
    <row r="111" spans="1:4" ht="15.75" x14ac:dyDescent="0.25">
      <c r="A111" s="58">
        <v>106</v>
      </c>
      <c r="B111" s="58">
        <f>Hold!A149</f>
        <v>19</v>
      </c>
      <c r="C111" s="59" t="str">
        <f>Hold!B149</f>
        <v>Gitte</v>
      </c>
      <c r="D111" s="62">
        <f>Hold!J149</f>
        <v>86.5</v>
      </c>
    </row>
    <row r="112" spans="1:4" ht="15.75" x14ac:dyDescent="0.25">
      <c r="A112" s="58">
        <v>107</v>
      </c>
      <c r="B112" s="58">
        <f>Hold!A207</f>
        <v>26</v>
      </c>
      <c r="C112" s="59" t="str">
        <f>Hold!B207</f>
        <v>Jeff</v>
      </c>
      <c r="D112" s="62">
        <f>Hold!J207</f>
        <v>84.357142857142861</v>
      </c>
    </row>
    <row r="113" spans="1:4" ht="15.75" x14ac:dyDescent="0.25">
      <c r="A113" s="58">
        <v>108</v>
      </c>
      <c r="B113" s="58">
        <f>Hold!A53</f>
        <v>7</v>
      </c>
      <c r="C113" s="59" t="str">
        <f>Hold!B53</f>
        <v>Annette</v>
      </c>
      <c r="D113" s="62">
        <f>Hold!J53</f>
        <v>79.857142857142861</v>
      </c>
    </row>
    <row r="114" spans="1:4" ht="15.75" x14ac:dyDescent="0.25">
      <c r="A114" s="58">
        <v>109</v>
      </c>
      <c r="B114" s="58">
        <f>Hold!A241</f>
        <v>30</v>
      </c>
      <c r="C114" s="59" t="str">
        <f>Hold!B241</f>
        <v>ida</v>
      </c>
      <c r="D114" s="62">
        <f>Hold!J241</f>
        <v>77.125</v>
      </c>
    </row>
    <row r="115" spans="1:4" ht="15.75" x14ac:dyDescent="0.25">
      <c r="A115" s="58">
        <v>110</v>
      </c>
      <c r="B115" s="58">
        <f>Hold!A206</f>
        <v>26</v>
      </c>
      <c r="C115" s="59" t="str">
        <f>Hold!B206</f>
        <v>Britt</v>
      </c>
      <c r="D115" s="62">
        <f>Hold!J206</f>
        <v>76.428571428571431</v>
      </c>
    </row>
    <row r="116" spans="1:4" ht="15.75" x14ac:dyDescent="0.25">
      <c r="A116" s="58">
        <v>111</v>
      </c>
      <c r="B116" s="58">
        <f>Hold!A47</f>
        <v>6</v>
      </c>
      <c r="C116" s="59" t="str">
        <f>Hold!B47</f>
        <v>Frederikke</v>
      </c>
      <c r="D116" s="62">
        <f>Hold!J47</f>
        <v>74.428571428571431</v>
      </c>
    </row>
    <row r="117" spans="1:4" ht="15.75" x14ac:dyDescent="0.25">
      <c r="A117" s="58">
        <v>112</v>
      </c>
      <c r="B117" s="58">
        <f>Hold!A208</f>
        <v>26</v>
      </c>
      <c r="C117" s="59" t="str">
        <f>Hold!B208</f>
        <v>Kaya</v>
      </c>
      <c r="D117" s="62">
        <f>Hold!J208</f>
        <v>73.214285714285708</v>
      </c>
    </row>
    <row r="118" spans="1:4" ht="15.75" x14ac:dyDescent="0.25">
      <c r="A118" s="58">
        <v>113</v>
      </c>
      <c r="B118" s="58">
        <f>Hold!A182</f>
        <v>23</v>
      </c>
      <c r="C118" s="59">
        <f>Hold!B182</f>
        <v>0</v>
      </c>
      <c r="D118" s="62">
        <f>Hold!J182</f>
        <v>1</v>
      </c>
    </row>
    <row r="119" spans="1:4" ht="15.75" x14ac:dyDescent="0.25">
      <c r="A119" s="58">
        <v>114</v>
      </c>
      <c r="B119" s="58">
        <f>Hold!A184</f>
        <v>23</v>
      </c>
      <c r="C119" s="59">
        <f>Hold!B184</f>
        <v>0</v>
      </c>
      <c r="D119" s="62">
        <f>Hold!J184</f>
        <v>1</v>
      </c>
    </row>
    <row r="120" spans="1:4" ht="15.75" x14ac:dyDescent="0.25">
      <c r="A120" s="58">
        <v>115</v>
      </c>
      <c r="B120" s="58">
        <f>Hold!A181</f>
        <v>23</v>
      </c>
      <c r="C120" s="59">
        <f>Hold!B181</f>
        <v>0</v>
      </c>
      <c r="D120" s="62">
        <f>Hold!J181</f>
        <v>1</v>
      </c>
    </row>
    <row r="121" spans="1:4" ht="15.75" x14ac:dyDescent="0.25">
      <c r="A121" s="58">
        <v>116</v>
      </c>
      <c r="B121" s="58">
        <f>Hold!A183</f>
        <v>23</v>
      </c>
      <c r="C121" s="59">
        <f>Hold!B183</f>
        <v>0</v>
      </c>
      <c r="D121" s="62">
        <f>Hold!J183</f>
        <v>1</v>
      </c>
    </row>
    <row r="122" spans="1:4" ht="15.75" x14ac:dyDescent="0.25">
      <c r="A122" s="58">
        <v>117</v>
      </c>
      <c r="B122" s="58">
        <f>Hold!A261</f>
        <v>33</v>
      </c>
      <c r="C122" s="59">
        <f>Hold!B261</f>
        <v>0</v>
      </c>
      <c r="D122" s="62">
        <f>Hold!J261</f>
        <v>1</v>
      </c>
    </row>
    <row r="123" spans="1:4" ht="15.75" x14ac:dyDescent="0.25">
      <c r="A123" s="58">
        <v>118</v>
      </c>
      <c r="B123" s="58">
        <f>Hold!A263</f>
        <v>33</v>
      </c>
      <c r="C123" s="59">
        <f>Hold!B263</f>
        <v>0</v>
      </c>
      <c r="D123" s="62">
        <f>Hold!J263</f>
        <v>1</v>
      </c>
    </row>
    <row r="124" spans="1:4" ht="15.75" x14ac:dyDescent="0.25">
      <c r="A124" s="58">
        <v>119</v>
      </c>
      <c r="B124" s="58">
        <f>Hold!A185</f>
        <v>23</v>
      </c>
      <c r="C124" s="59">
        <f>Hold!B185</f>
        <v>0</v>
      </c>
      <c r="D124" s="62">
        <f>Hold!J185</f>
        <v>1</v>
      </c>
    </row>
    <row r="125" spans="1:4" ht="15.75" x14ac:dyDescent="0.25">
      <c r="A125" s="58">
        <v>120</v>
      </c>
      <c r="B125" s="58">
        <f>Hold!A264</f>
        <v>33</v>
      </c>
      <c r="C125" s="59">
        <f>Hold!B264</f>
        <v>0</v>
      </c>
      <c r="D125" s="62">
        <f>Hold!J264</f>
        <v>1</v>
      </c>
    </row>
    <row r="126" spans="1:4" ht="15.75" x14ac:dyDescent="0.25">
      <c r="A126" s="58">
        <v>121</v>
      </c>
      <c r="B126" s="58">
        <f>Hold!A265</f>
        <v>33</v>
      </c>
      <c r="C126" s="59">
        <f>Hold!B265</f>
        <v>0</v>
      </c>
      <c r="D126" s="62">
        <f>Hold!J265</f>
        <v>1</v>
      </c>
    </row>
    <row r="127" spans="1:4" ht="15.75" x14ac:dyDescent="0.25">
      <c r="A127" s="58">
        <v>122</v>
      </c>
      <c r="B127" s="58">
        <f>Hold!A262</f>
        <v>33</v>
      </c>
      <c r="C127" s="59">
        <f>Hold!B262</f>
        <v>0</v>
      </c>
      <c r="D127" s="62">
        <f>Hold!J262</f>
        <v>1</v>
      </c>
    </row>
    <row r="128" spans="1:4" ht="15.75" x14ac:dyDescent="0.25">
      <c r="A128" s="58">
        <v>123</v>
      </c>
      <c r="B128" s="58">
        <f>Hold!A269</f>
        <v>34</v>
      </c>
      <c r="C128" s="59" t="str">
        <f>Hold!B269</f>
        <v>Navn1</v>
      </c>
      <c r="D128" s="62">
        <f>Hold!J269</f>
        <v>1</v>
      </c>
    </row>
    <row r="129" spans="1:4" ht="15.75" x14ac:dyDescent="0.25">
      <c r="A129" s="58">
        <v>124</v>
      </c>
      <c r="B129" s="58">
        <f>Hold!A270</f>
        <v>34</v>
      </c>
      <c r="C129" s="59" t="str">
        <f>Hold!B270</f>
        <v>Navn2</v>
      </c>
      <c r="D129" s="62">
        <f>Hold!J270</f>
        <v>1</v>
      </c>
    </row>
    <row r="130" spans="1:4" ht="15.75" x14ac:dyDescent="0.25">
      <c r="A130" s="58">
        <v>125</v>
      </c>
      <c r="B130" s="58">
        <f>Hold!A271</f>
        <v>34</v>
      </c>
      <c r="C130" s="59" t="str">
        <f>Hold!B271</f>
        <v>Navn3</v>
      </c>
      <c r="D130" s="62">
        <f>Hold!J271</f>
        <v>1</v>
      </c>
    </row>
    <row r="131" spans="1:4" ht="15.75" x14ac:dyDescent="0.25">
      <c r="A131" s="58">
        <v>126</v>
      </c>
      <c r="B131" s="58">
        <f>Hold!A272</f>
        <v>34</v>
      </c>
      <c r="C131" s="59" t="str">
        <f>Hold!B272</f>
        <v>Navn4</v>
      </c>
      <c r="D131" s="62">
        <f>Hold!J272</f>
        <v>1</v>
      </c>
    </row>
    <row r="132" spans="1:4" ht="15.75" x14ac:dyDescent="0.25">
      <c r="A132" s="58">
        <v>127</v>
      </c>
      <c r="B132" s="58">
        <f>Hold!A277</f>
        <v>35</v>
      </c>
      <c r="C132" s="59">
        <f>Hold!B277</f>
        <v>0</v>
      </c>
      <c r="D132" s="62">
        <f>Hold!J277</f>
        <v>1</v>
      </c>
    </row>
    <row r="133" spans="1:4" ht="15.75" x14ac:dyDescent="0.25">
      <c r="A133" s="58">
        <v>128</v>
      </c>
      <c r="B133" s="58">
        <f>Hold!A278</f>
        <v>35</v>
      </c>
      <c r="C133" s="59">
        <f>Hold!B278</f>
        <v>0</v>
      </c>
      <c r="D133" s="62">
        <f>Hold!J278</f>
        <v>1</v>
      </c>
    </row>
    <row r="134" spans="1:4" ht="15.75" x14ac:dyDescent="0.25">
      <c r="A134" s="58">
        <v>129</v>
      </c>
      <c r="B134" s="58">
        <f>Hold!A279</f>
        <v>35</v>
      </c>
      <c r="C134" s="59">
        <f>Hold!B279</f>
        <v>0</v>
      </c>
      <c r="D134" s="62">
        <f>Hold!J279</f>
        <v>1</v>
      </c>
    </row>
    <row r="135" spans="1:4" ht="15.75" x14ac:dyDescent="0.25">
      <c r="A135" s="58">
        <v>130</v>
      </c>
      <c r="B135" s="58">
        <f>Hold!A280</f>
        <v>35</v>
      </c>
      <c r="C135" s="59">
        <f>Hold!B280</f>
        <v>0</v>
      </c>
      <c r="D135" s="62">
        <f>Hold!J280</f>
        <v>1</v>
      </c>
    </row>
    <row r="136" spans="1:4" ht="15.75" x14ac:dyDescent="0.25">
      <c r="A136" s="58">
        <v>131</v>
      </c>
      <c r="B136" s="58">
        <f>Hold!A273</f>
        <v>34</v>
      </c>
      <c r="C136" s="59" t="str">
        <f>Hold!B273</f>
        <v>reserve</v>
      </c>
      <c r="D136" s="62">
        <f>Hold!J273</f>
        <v>1</v>
      </c>
    </row>
    <row r="137" spans="1:4" ht="15.75" x14ac:dyDescent="0.25">
      <c r="A137" s="58">
        <v>132</v>
      </c>
      <c r="B137" s="58">
        <f>Hold!A281</f>
        <v>35</v>
      </c>
      <c r="C137" s="59" t="str">
        <f>Hold!B281</f>
        <v>reserve</v>
      </c>
      <c r="D137" s="62">
        <f>Hold!J281</f>
        <v>1</v>
      </c>
    </row>
    <row r="138" spans="1:4" ht="15.75" x14ac:dyDescent="0.25">
      <c r="A138" s="58">
        <v>133</v>
      </c>
      <c r="B138" s="58">
        <f>Hold!A176</f>
        <v>22</v>
      </c>
      <c r="C138" s="59">
        <f>Hold!B176</f>
        <v>0</v>
      </c>
      <c r="D138" s="62">
        <f>Hold!J176</f>
        <v>0</v>
      </c>
    </row>
    <row r="139" spans="1:4" ht="15.75" x14ac:dyDescent="0.25">
      <c r="A139" s="58">
        <v>134</v>
      </c>
      <c r="B139" s="58">
        <f>Hold!A177</f>
        <v>22</v>
      </c>
      <c r="C139" s="59">
        <f>Hold!B177</f>
        <v>0</v>
      </c>
      <c r="D139" s="62">
        <f>Hold!J177</f>
        <v>0</v>
      </c>
    </row>
    <row r="140" spans="1:4" ht="15.75" x14ac:dyDescent="0.25">
      <c r="A140" s="58">
        <v>135</v>
      </c>
      <c r="B140" s="58">
        <f>Hold!A256</f>
        <v>32</v>
      </c>
      <c r="C140" s="59" t="str">
        <f>Hold!B256</f>
        <v>Navn4</v>
      </c>
      <c r="D140" s="62">
        <f>Hold!J256</f>
        <v>0</v>
      </c>
    </row>
    <row r="141" spans="1:4" ht="15.75" x14ac:dyDescent="0.25">
      <c r="A141" s="58">
        <v>136</v>
      </c>
      <c r="B141" s="58">
        <f>Hold!A257</f>
        <v>32</v>
      </c>
      <c r="C141" s="59" t="str">
        <f>Hold!B257</f>
        <v>reserve</v>
      </c>
      <c r="D141" s="62">
        <f>Hold!J257</f>
        <v>0</v>
      </c>
    </row>
    <row r="142" spans="1:4" ht="15.75" x14ac:dyDescent="0.25">
      <c r="A142" s="58">
        <v>137</v>
      </c>
      <c r="B142" s="58">
        <f>Hold!A6</f>
        <v>1</v>
      </c>
      <c r="C142" s="59" t="str">
        <f>Hold!B6</f>
        <v>Flemming</v>
      </c>
      <c r="D142" s="62">
        <f>Hold!J6</f>
        <v>0</v>
      </c>
    </row>
    <row r="143" spans="1:4" ht="15.75" x14ac:dyDescent="0.25">
      <c r="A143" s="58">
        <v>138</v>
      </c>
      <c r="B143" s="58">
        <f>Hold!A169</f>
        <v>21</v>
      </c>
      <c r="C143" s="59">
        <f>Hold!B169</f>
        <v>0</v>
      </c>
      <c r="D143" s="62">
        <f>Hold!J169</f>
        <v>0</v>
      </c>
    </row>
    <row r="144" spans="1:4" ht="15.75" x14ac:dyDescent="0.25">
      <c r="A144" s="58">
        <v>139</v>
      </c>
      <c r="B144" s="58">
        <f>Hold!A168</f>
        <v>21</v>
      </c>
      <c r="C144" s="59">
        <f>Hold!B168</f>
        <v>0</v>
      </c>
      <c r="D144" s="62">
        <f>Hold!J168</f>
        <v>0</v>
      </c>
    </row>
    <row r="145" spans="1:4" ht="15.75" x14ac:dyDescent="0.25">
      <c r="A145" s="58">
        <v>140</v>
      </c>
      <c r="B145" s="58">
        <f>Hold!A81</f>
        <v>10</v>
      </c>
      <c r="C145" s="59" t="str">
        <f>Hold!B81</f>
        <v>reserve</v>
      </c>
      <c r="D145" s="62">
        <f>Hold!J81</f>
        <v>0</v>
      </c>
    </row>
    <row r="146" spans="1:4" ht="15.75" x14ac:dyDescent="0.25">
      <c r="A146" s="58">
        <v>141</v>
      </c>
      <c r="B146" s="58">
        <f>Hold!A89</f>
        <v>11</v>
      </c>
      <c r="C146" s="59">
        <f>Hold!B89</f>
        <v>0</v>
      </c>
      <c r="D146" s="62">
        <f>Hold!J89</f>
        <v>0</v>
      </c>
    </row>
    <row r="147" spans="1:4" ht="15.75" x14ac:dyDescent="0.25">
      <c r="A147" s="58">
        <v>142</v>
      </c>
      <c r="B147" s="58">
        <f>Hold!A249</f>
        <v>31</v>
      </c>
      <c r="C147" s="59" t="str">
        <f>Hold!B249</f>
        <v>reserve</v>
      </c>
      <c r="D147" s="62">
        <f>Hold!J249</f>
        <v>0</v>
      </c>
    </row>
    <row r="148" spans="1:4" ht="15.75" x14ac:dyDescent="0.25">
      <c r="A148" s="58">
        <v>143</v>
      </c>
      <c r="B148" s="58">
        <f>Hold!A24</f>
        <v>3</v>
      </c>
      <c r="C148" s="59">
        <f>Hold!B24</f>
        <v>0</v>
      </c>
      <c r="D148" s="62">
        <f>Hold!J24</f>
        <v>0</v>
      </c>
    </row>
    <row r="149" spans="1:4" ht="15.75" x14ac:dyDescent="0.25">
      <c r="A149" s="58">
        <v>144</v>
      </c>
      <c r="B149" s="58">
        <f>Hold!A16</f>
        <v>2</v>
      </c>
      <c r="C149" s="59">
        <f>Hold!B16</f>
        <v>0</v>
      </c>
      <c r="D149" s="62">
        <f>Hold!J16</f>
        <v>0</v>
      </c>
    </row>
    <row r="150" spans="1:4" ht="15.75" x14ac:dyDescent="0.25">
      <c r="A150" s="58">
        <v>145</v>
      </c>
      <c r="B150" s="58">
        <f>Hold!A142</f>
        <v>18</v>
      </c>
      <c r="C150" s="59" t="str">
        <f>Hold!B142</f>
        <v>Jan</v>
      </c>
      <c r="D150" s="62">
        <f>Hold!J142</f>
        <v>0</v>
      </c>
    </row>
    <row r="151" spans="1:4" ht="15.75" x14ac:dyDescent="0.25">
      <c r="A151" s="58">
        <v>166</v>
      </c>
      <c r="B151" s="58">
        <f>Hold!A25</f>
        <v>3</v>
      </c>
      <c r="C151" s="59">
        <f>Hold!B25</f>
        <v>0</v>
      </c>
      <c r="D151" s="62">
        <f>Hold!J25</f>
        <v>0</v>
      </c>
    </row>
    <row r="152" spans="1:4" ht="15.75" x14ac:dyDescent="0.25">
      <c r="A152" s="58">
        <v>167</v>
      </c>
      <c r="B152" s="58">
        <f>Hold!A112</f>
        <v>14</v>
      </c>
      <c r="C152" s="59">
        <f>Hold!B112</f>
        <v>0</v>
      </c>
      <c r="D152" s="62">
        <f>Hold!J112</f>
        <v>0</v>
      </c>
    </row>
    <row r="153" spans="1:4" ht="15.75" x14ac:dyDescent="0.25">
      <c r="A153" s="58">
        <v>168</v>
      </c>
      <c r="B153" s="58">
        <f>Hold!A33</f>
        <v>4</v>
      </c>
      <c r="C153" s="59">
        <f>Hold!B33</f>
        <v>0</v>
      </c>
      <c r="D153" s="62">
        <f>Hold!J33</f>
        <v>0</v>
      </c>
    </row>
    <row r="154" spans="1:4" ht="15.75" x14ac:dyDescent="0.25">
      <c r="A154" s="58">
        <v>169</v>
      </c>
      <c r="B154" s="58">
        <f>Hold!A49</f>
        <v>6</v>
      </c>
      <c r="C154" s="59">
        <f>Hold!B49</f>
        <v>0</v>
      </c>
      <c r="D154" s="62">
        <f>Hold!J49</f>
        <v>0</v>
      </c>
    </row>
    <row r="155" spans="1:4" ht="15.75" x14ac:dyDescent="0.25">
      <c r="A155" s="58">
        <v>170</v>
      </c>
      <c r="B155" s="58">
        <f>Hold!A40</f>
        <v>5</v>
      </c>
      <c r="C155" s="59">
        <f>Hold!B40</f>
        <v>0</v>
      </c>
      <c r="D155" s="62">
        <f>Hold!J40</f>
        <v>0</v>
      </c>
    </row>
    <row r="156" spans="1:4" ht="15.75" x14ac:dyDescent="0.25">
      <c r="A156" s="58">
        <v>171</v>
      </c>
      <c r="B156" s="58">
        <f>Hold!A48</f>
        <v>6</v>
      </c>
      <c r="C156" s="59">
        <f>Hold!B48</f>
        <v>0</v>
      </c>
      <c r="D156" s="62">
        <f>Hold!J48</f>
        <v>0</v>
      </c>
    </row>
    <row r="157" spans="1:4" ht="15.75" x14ac:dyDescent="0.25">
      <c r="A157" s="58">
        <v>172</v>
      </c>
      <c r="B157" s="58">
        <f>Hold!A120</f>
        <v>15</v>
      </c>
      <c r="C157" s="59">
        <f>Hold!B120</f>
        <v>0</v>
      </c>
      <c r="D157" s="62">
        <f>Hold!J120</f>
        <v>0</v>
      </c>
    </row>
    <row r="158" spans="1:4" ht="15.75" x14ac:dyDescent="0.25">
      <c r="A158" s="58">
        <v>173</v>
      </c>
      <c r="B158" s="58">
        <f>Hold!A217</f>
        <v>27</v>
      </c>
      <c r="C158" s="59" t="str">
        <f>Hold!B217</f>
        <v>reserve</v>
      </c>
      <c r="D158" s="62">
        <f>Hold!J217</f>
        <v>0</v>
      </c>
    </row>
    <row r="159" spans="1:4" ht="15.75" x14ac:dyDescent="0.25">
      <c r="A159" s="58">
        <v>174</v>
      </c>
      <c r="B159" s="58">
        <f>Hold!A41</f>
        <v>5</v>
      </c>
      <c r="C159" s="59">
        <f>Hold!B41</f>
        <v>0</v>
      </c>
      <c r="D159" s="62">
        <f>Hold!J41</f>
        <v>0</v>
      </c>
    </row>
    <row r="160" spans="1:4" ht="15.75" x14ac:dyDescent="0.25">
      <c r="A160" s="58">
        <v>175</v>
      </c>
      <c r="B160" s="58">
        <f>Hold!A225</f>
        <v>28</v>
      </c>
      <c r="C160" s="59" t="str">
        <f>Hold!B225</f>
        <v xml:space="preserve">Lin </v>
      </c>
      <c r="D160" s="62">
        <f>Hold!J225</f>
        <v>0</v>
      </c>
    </row>
    <row r="161" spans="1:4" ht="15.75" x14ac:dyDescent="0.25">
      <c r="A161" s="58">
        <v>176</v>
      </c>
      <c r="B161" s="58">
        <f>Hold!A56</f>
        <v>7</v>
      </c>
      <c r="C161" s="59">
        <f>Hold!B56</f>
        <v>0</v>
      </c>
      <c r="D161" s="62">
        <f>Hold!J56</f>
        <v>0</v>
      </c>
    </row>
    <row r="162" spans="1:4" ht="15.75" x14ac:dyDescent="0.25">
      <c r="A162" s="58">
        <v>177</v>
      </c>
      <c r="B162" s="58">
        <f>Hold!A136</f>
        <v>17</v>
      </c>
      <c r="C162" s="59">
        <f>Hold!B136</f>
        <v>0</v>
      </c>
      <c r="D162" s="62">
        <f>Hold!J136</f>
        <v>0</v>
      </c>
    </row>
    <row r="163" spans="1:4" ht="15.75" x14ac:dyDescent="0.25">
      <c r="A163" s="58">
        <v>178</v>
      </c>
      <c r="B163" s="58">
        <f>Hold!A8</f>
        <v>1</v>
      </c>
      <c r="C163" s="59">
        <f>Hold!B8</f>
        <v>0</v>
      </c>
      <c r="D163" s="62">
        <f>Hold!J8</f>
        <v>0</v>
      </c>
    </row>
    <row r="164" spans="1:4" ht="15.75" x14ac:dyDescent="0.25">
      <c r="A164" s="58">
        <v>179</v>
      </c>
      <c r="B164" s="58">
        <f>Hold!A17</f>
        <v>2</v>
      </c>
      <c r="C164" s="59">
        <f>Hold!B17</f>
        <v>0</v>
      </c>
      <c r="D164" s="62">
        <f>Hold!J17</f>
        <v>0</v>
      </c>
    </row>
    <row r="165" spans="1:4" ht="15.75" x14ac:dyDescent="0.25">
      <c r="A165" s="58">
        <v>180</v>
      </c>
      <c r="B165" s="58">
        <f>Hold!A57</f>
        <v>7</v>
      </c>
      <c r="C165" s="59" t="str">
        <f>Hold!B57</f>
        <v>reserve</v>
      </c>
      <c r="D165" s="62">
        <f>Hold!J57</f>
        <v>0</v>
      </c>
    </row>
    <row r="166" spans="1:4" ht="15.75" x14ac:dyDescent="0.25">
      <c r="A166" s="58">
        <v>181</v>
      </c>
      <c r="B166" s="58">
        <f>Hold!A65</f>
        <v>8</v>
      </c>
      <c r="C166" s="59" t="str">
        <f>Hold!B65</f>
        <v>reserve</v>
      </c>
      <c r="D166" s="62">
        <f>Hold!J65</f>
        <v>0</v>
      </c>
    </row>
    <row r="167" spans="1:4" ht="15.75" x14ac:dyDescent="0.25">
      <c r="A167" s="58">
        <v>182</v>
      </c>
      <c r="B167" s="58">
        <f>Hold!A72</f>
        <v>9</v>
      </c>
      <c r="C167" s="59" t="str">
        <f>Hold!B72</f>
        <v>Navn4</v>
      </c>
      <c r="D167" s="62">
        <f>Hold!J72</f>
        <v>0</v>
      </c>
    </row>
    <row r="168" spans="1:4" ht="15.75" x14ac:dyDescent="0.25">
      <c r="A168" s="58">
        <v>183</v>
      </c>
      <c r="B168" s="58">
        <f>Hold!A73</f>
        <v>9</v>
      </c>
      <c r="C168" s="59" t="str">
        <f>Hold!B73</f>
        <v>reserve</v>
      </c>
      <c r="D168" s="62">
        <f>Hold!J73</f>
        <v>0</v>
      </c>
    </row>
    <row r="169" spans="1:4" ht="15.75" x14ac:dyDescent="0.25">
      <c r="A169" s="58">
        <v>184</v>
      </c>
      <c r="B169" s="58">
        <f>Hold!A97</f>
        <v>12</v>
      </c>
      <c r="C169" s="59">
        <f>Hold!B97</f>
        <v>0</v>
      </c>
      <c r="D169" s="62">
        <f>Hold!J97</f>
        <v>0</v>
      </c>
    </row>
    <row r="170" spans="1:4" ht="15.75" x14ac:dyDescent="0.25">
      <c r="A170" s="58">
        <v>185</v>
      </c>
      <c r="B170" s="58">
        <f>Hold!A105</f>
        <v>13</v>
      </c>
      <c r="C170" s="59">
        <f>Hold!B105</f>
        <v>0</v>
      </c>
      <c r="D170" s="62">
        <f>Hold!J105</f>
        <v>0</v>
      </c>
    </row>
    <row r="171" spans="1:4" ht="15.75" x14ac:dyDescent="0.25">
      <c r="A171" s="58">
        <v>186</v>
      </c>
      <c r="B171" s="58">
        <f>Hold!A113</f>
        <v>14</v>
      </c>
      <c r="C171" s="59" t="str">
        <f>Hold!B113</f>
        <v>reserve</v>
      </c>
      <c r="D171" s="62">
        <f>Hold!J113</f>
        <v>0</v>
      </c>
    </row>
    <row r="172" spans="1:4" ht="15.75" x14ac:dyDescent="0.25">
      <c r="A172" s="58">
        <v>187</v>
      </c>
      <c r="B172" s="58">
        <f>Hold!A121</f>
        <v>15</v>
      </c>
      <c r="C172" s="59" t="str">
        <f>Hold!B121</f>
        <v>reserve</v>
      </c>
      <c r="D172" s="62">
        <f>Hold!J121</f>
        <v>0</v>
      </c>
    </row>
    <row r="173" spans="1:4" ht="15.75" x14ac:dyDescent="0.25">
      <c r="A173" s="58">
        <v>188</v>
      </c>
      <c r="B173" s="58">
        <f>Hold!A128</f>
        <v>16</v>
      </c>
      <c r="C173" s="59">
        <f>Hold!B128</f>
        <v>0</v>
      </c>
      <c r="D173" s="62">
        <f>Hold!J128</f>
        <v>0</v>
      </c>
    </row>
    <row r="174" spans="1:4" ht="15.75" x14ac:dyDescent="0.25">
      <c r="A174" s="58">
        <v>189</v>
      </c>
      <c r="B174" s="58">
        <f>Hold!A129</f>
        <v>16</v>
      </c>
      <c r="C174" s="59" t="str">
        <f>Hold!B129</f>
        <v>reserve</v>
      </c>
      <c r="D174" s="62">
        <f>Hold!J129</f>
        <v>0</v>
      </c>
    </row>
    <row r="175" spans="1:4" ht="15.75" x14ac:dyDescent="0.25">
      <c r="A175" s="58">
        <v>190</v>
      </c>
      <c r="B175" s="58">
        <f>Hold!A137</f>
        <v>17</v>
      </c>
      <c r="C175" s="59" t="str">
        <f>Hold!B137</f>
        <v>reserve</v>
      </c>
      <c r="D175" s="62">
        <f>Hold!J137</f>
        <v>0</v>
      </c>
    </row>
    <row r="176" spans="1:4" ht="15.75" x14ac:dyDescent="0.25">
      <c r="A176" s="58">
        <v>191</v>
      </c>
      <c r="B176" s="58">
        <f>Hold!A153</f>
        <v>19</v>
      </c>
      <c r="C176" s="59" t="str">
        <f>Hold!B153</f>
        <v>reserve</v>
      </c>
      <c r="D176" s="62">
        <f>Hold!J153</f>
        <v>0</v>
      </c>
    </row>
    <row r="177" spans="1:4" ht="15.75" x14ac:dyDescent="0.25">
      <c r="A177" s="58">
        <v>192</v>
      </c>
      <c r="B177" s="58">
        <f>Hold!A200</f>
        <v>25</v>
      </c>
      <c r="C177" s="59">
        <f>Hold!B200</f>
        <v>0</v>
      </c>
      <c r="D177" s="62">
        <f>Hold!J200</f>
        <v>0</v>
      </c>
    </row>
    <row r="178" spans="1:4" ht="15.75" x14ac:dyDescent="0.25">
      <c r="A178" s="58">
        <v>193</v>
      </c>
      <c r="B178" s="58">
        <f>Hold!A201</f>
        <v>25</v>
      </c>
      <c r="C178" s="59" t="str">
        <f>Hold!B201</f>
        <v>reserve</v>
      </c>
      <c r="D178" s="62">
        <f>Hold!J201</f>
        <v>0</v>
      </c>
    </row>
    <row r="179" spans="1:4" ht="15.75" x14ac:dyDescent="0.25">
      <c r="A179" s="58">
        <v>194</v>
      </c>
      <c r="B179" s="58">
        <f>Hold!A209</f>
        <v>26</v>
      </c>
      <c r="C179" s="59" t="str">
        <f>Hold!B209</f>
        <v>reserve</v>
      </c>
      <c r="D179" s="62">
        <f>Hold!J209</f>
        <v>0</v>
      </c>
    </row>
    <row r="180" spans="1:4" ht="15.75" x14ac:dyDescent="0.25">
      <c r="A180" s="58">
        <v>195</v>
      </c>
      <c r="B180" s="58">
        <f>Hold!A233</f>
        <v>29</v>
      </c>
      <c r="C180" s="59" t="str">
        <f>Hold!B233</f>
        <v>reserve</v>
      </c>
      <c r="D180" s="62">
        <f>Hold!J233</f>
        <v>0</v>
      </c>
    </row>
  </sheetData>
  <sortState xmlns:xlrd2="http://schemas.microsoft.com/office/spreadsheetml/2017/richdata2" ref="B6:D117">
    <sortCondition descending="1" ref="D6:D117"/>
  </sortState>
  <mergeCells count="3">
    <mergeCell ref="A3:D3"/>
    <mergeCell ref="A2:D2"/>
    <mergeCell ref="B4:D4"/>
  </mergeCells>
  <phoneticPr fontId="0" type="noConversion"/>
  <pageMargins left="0.75" right="0.75" top="1" bottom="1" header="0" footer="0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Top</vt:lpstr>
      <vt:lpstr>Hold</vt:lpstr>
      <vt:lpstr>pers. score </vt:lpstr>
      <vt:lpstr>'pers. score '!Udskriftsområde</vt:lpstr>
      <vt:lpstr>Top!Udskriftsområde</vt:lpstr>
    </vt:vector>
  </TitlesOfParts>
  <Company>IBM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</dc:creator>
  <cp:lastModifiedBy>Rune Søegaard Nielsen</cp:lastModifiedBy>
  <cp:lastPrinted>2024-01-29T06:39:25Z</cp:lastPrinted>
  <dcterms:created xsi:type="dcterms:W3CDTF">2004-09-18T10:00:21Z</dcterms:created>
  <dcterms:modified xsi:type="dcterms:W3CDTF">2024-04-30T06:38:44Z</dcterms:modified>
</cp:coreProperties>
</file>